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ira\Downloads\"/>
    </mc:Choice>
  </mc:AlternateContent>
  <xr:revisionPtr revIDLastSave="0" documentId="13_ncr:1_{18B3C6CC-AF0C-4707-AE08-69EDD13FCD51}" xr6:coauthVersionLast="45" xr6:coauthVersionMax="46" xr10:uidLastSave="{00000000-0000-0000-0000-000000000000}"/>
  <bookViews>
    <workbookView xWindow="-120" yWindow="-120" windowWidth="19440" windowHeight="15000" tabRatio="604" firstSheet="1" activeTab="1" xr2:uid="{00000000-000D-0000-FFFF-FFFF00000000}"/>
  </bookViews>
  <sheets>
    <sheet name="ไม่รวมเบี้ย" sheetId="38" r:id="rId1"/>
    <sheet name="รวมเบี้ย" sheetId="35" r:id="rId2"/>
    <sheet name="การคำนวณ เงินเดือน59" sheetId="37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4" i="35" l="1"/>
  <c r="N24" i="35"/>
  <c r="M24" i="35"/>
  <c r="F24" i="35"/>
  <c r="Q24" i="35"/>
  <c r="O24" i="38"/>
  <c r="N24" i="38"/>
  <c r="M24" i="38"/>
  <c r="F24" i="38"/>
  <c r="F26" i="35"/>
  <c r="F26" i="38"/>
  <c r="F116" i="38"/>
  <c r="F113" i="38"/>
  <c r="F112" i="38"/>
  <c r="H111" i="38"/>
  <c r="I111" i="38"/>
  <c r="H110" i="38"/>
  <c r="K110" i="38"/>
  <c r="L110" i="38"/>
  <c r="H109" i="38"/>
  <c r="I109" i="38"/>
  <c r="R108" i="38"/>
  <c r="R109" i="38"/>
  <c r="H108" i="38"/>
  <c r="K108" i="38"/>
  <c r="L108" i="38"/>
  <c r="H107" i="38"/>
  <c r="I107" i="38"/>
  <c r="U94" i="38"/>
  <c r="V88" i="38"/>
  <c r="W88" i="38"/>
  <c r="V83" i="38"/>
  <c r="W83" i="38"/>
  <c r="AV65" i="38"/>
  <c r="AV66" i="38"/>
  <c r="AS65" i="38"/>
  <c r="AS66" i="38"/>
  <c r="AP65" i="38"/>
  <c r="AP66" i="38"/>
  <c r="U65" i="38"/>
  <c r="AQ64" i="38"/>
  <c r="AT64" i="38"/>
  <c r="AU64" i="38"/>
  <c r="AO64" i="38"/>
  <c r="AQ63" i="38"/>
  <c r="AR63" i="38"/>
  <c r="AO63" i="38"/>
  <c r="AQ62" i="38"/>
  <c r="AT62" i="38"/>
  <c r="AU62" i="38"/>
  <c r="AO62" i="38"/>
  <c r="AQ61" i="38"/>
  <c r="AR61" i="38"/>
  <c r="AO61" i="38"/>
  <c r="O61" i="38"/>
  <c r="N61" i="38"/>
  <c r="M61" i="38"/>
  <c r="F61" i="38"/>
  <c r="Q61" i="38" s="1"/>
  <c r="O60" i="38"/>
  <c r="N60" i="38"/>
  <c r="M60" i="38"/>
  <c r="F60" i="38"/>
  <c r="O59" i="38"/>
  <c r="N59" i="38"/>
  <c r="M59" i="38"/>
  <c r="F59" i="38"/>
  <c r="Q59" i="38" s="1"/>
  <c r="R59" i="38"/>
  <c r="O58" i="38"/>
  <c r="N58" i="38"/>
  <c r="M58" i="38"/>
  <c r="F58" i="38"/>
  <c r="O57" i="38"/>
  <c r="N57" i="38"/>
  <c r="M57" i="38"/>
  <c r="F57" i="38"/>
  <c r="AQ56" i="38"/>
  <c r="AT56" i="38"/>
  <c r="AU56" i="38"/>
  <c r="AO56" i="38"/>
  <c r="AH46" i="38"/>
  <c r="AJ46" i="38"/>
  <c r="AK46" i="38"/>
  <c r="AD46" i="38"/>
  <c r="AF46" i="38"/>
  <c r="AG46" i="38"/>
  <c r="Z46" i="38"/>
  <c r="Y46" i="38"/>
  <c r="O46" i="38"/>
  <c r="N46" i="38"/>
  <c r="M46" i="38"/>
  <c r="F46" i="38"/>
  <c r="Q46" i="38"/>
  <c r="AD45" i="38"/>
  <c r="Z45" i="38"/>
  <c r="AB45" i="38"/>
  <c r="AC45" i="38"/>
  <c r="AH44" i="38"/>
  <c r="AJ44" i="38"/>
  <c r="AK44" i="38"/>
  <c r="AD44" i="38"/>
  <c r="AF44" i="38"/>
  <c r="AG44" i="38"/>
  <c r="Z44" i="38"/>
  <c r="AB44" i="38"/>
  <c r="AC44" i="38"/>
  <c r="Y44" i="38"/>
  <c r="O44" i="38"/>
  <c r="N44" i="38"/>
  <c r="M44" i="38"/>
  <c r="F44" i="38"/>
  <c r="Q44" i="38"/>
  <c r="AH43" i="38"/>
  <c r="AD43" i="38"/>
  <c r="Z43" i="38"/>
  <c r="AB43" i="38"/>
  <c r="AC43" i="38"/>
  <c r="AH42" i="38"/>
  <c r="AJ42" i="38"/>
  <c r="AK42" i="38"/>
  <c r="AD42" i="38"/>
  <c r="AF42" i="38"/>
  <c r="AG42" i="38"/>
  <c r="Z42" i="38"/>
  <c r="AB42" i="38"/>
  <c r="AC42" i="38"/>
  <c r="Y42" i="38"/>
  <c r="O42" i="38"/>
  <c r="N42" i="38"/>
  <c r="M42" i="38"/>
  <c r="F42" i="38"/>
  <c r="Q42" i="38"/>
  <c r="AH41" i="38"/>
  <c r="AJ41" i="38"/>
  <c r="AK41" i="38"/>
  <c r="AD41" i="38"/>
  <c r="AF41" i="38"/>
  <c r="AG41" i="38"/>
  <c r="Z41" i="38"/>
  <c r="AB41" i="38"/>
  <c r="AC41" i="38"/>
  <c r="Y41" i="38"/>
  <c r="O41" i="38"/>
  <c r="N41" i="38"/>
  <c r="M41" i="38"/>
  <c r="F41" i="38"/>
  <c r="Q41" i="38"/>
  <c r="AH40" i="38"/>
  <c r="AJ40" i="38"/>
  <c r="AK40" i="38"/>
  <c r="AD40" i="38"/>
  <c r="AF40" i="38"/>
  <c r="AG40" i="38"/>
  <c r="Z40" i="38"/>
  <c r="AB40" i="38"/>
  <c r="AC40" i="38"/>
  <c r="Y40" i="38"/>
  <c r="O40" i="38"/>
  <c r="N40" i="38"/>
  <c r="M40" i="38"/>
  <c r="F40" i="38"/>
  <c r="Q40" i="38"/>
  <c r="AH39" i="38"/>
  <c r="AJ39" i="38"/>
  <c r="AK39" i="38"/>
  <c r="AD39" i="38"/>
  <c r="AF39" i="38"/>
  <c r="AG39" i="38"/>
  <c r="Z39" i="38"/>
  <c r="AB39" i="38"/>
  <c r="AC39" i="38"/>
  <c r="Y39" i="38"/>
  <c r="O39" i="38"/>
  <c r="N39" i="38"/>
  <c r="M39" i="38"/>
  <c r="F39" i="38"/>
  <c r="Q39" i="38"/>
  <c r="AH38" i="38"/>
  <c r="AD38" i="38"/>
  <c r="Z38" i="38"/>
  <c r="AB38" i="38"/>
  <c r="AC38" i="38"/>
  <c r="AM37" i="38"/>
  <c r="AN37" i="38"/>
  <c r="AH37" i="38"/>
  <c r="AD37" i="38"/>
  <c r="Z37" i="38"/>
  <c r="AB37" i="38"/>
  <c r="AC37" i="38"/>
  <c r="Y37" i="38"/>
  <c r="O37" i="38"/>
  <c r="N37" i="38"/>
  <c r="F37" i="38"/>
  <c r="Q37" i="38" s="1"/>
  <c r="R37" i="38"/>
  <c r="AD36" i="38"/>
  <c r="Z36" i="38"/>
  <c r="AH35" i="38"/>
  <c r="AJ35" i="38"/>
  <c r="AK35" i="38"/>
  <c r="AD35" i="38"/>
  <c r="AF35" i="38"/>
  <c r="AG35" i="38"/>
  <c r="Z35" i="38"/>
  <c r="AB35" i="38"/>
  <c r="AC35" i="38"/>
  <c r="Y35" i="38"/>
  <c r="O35" i="38"/>
  <c r="N35" i="38"/>
  <c r="M35" i="38"/>
  <c r="F35" i="38"/>
  <c r="Q35" i="38"/>
  <c r="AH34" i="38"/>
  <c r="AJ34" i="38"/>
  <c r="AK34" i="38"/>
  <c r="AD34" i="38"/>
  <c r="AF34" i="38"/>
  <c r="AG34" i="38"/>
  <c r="Z34" i="38"/>
  <c r="AB34" i="38"/>
  <c r="AC34" i="38"/>
  <c r="Y34" i="38"/>
  <c r="O34" i="38"/>
  <c r="N34" i="38"/>
  <c r="M34" i="38"/>
  <c r="F34" i="38"/>
  <c r="Q34" i="38"/>
  <c r="AH33" i="38"/>
  <c r="AJ33" i="38"/>
  <c r="AK33" i="38"/>
  <c r="AD33" i="38"/>
  <c r="AF33" i="38"/>
  <c r="AG33" i="38"/>
  <c r="Z33" i="38"/>
  <c r="AB33" i="38"/>
  <c r="AC33" i="38"/>
  <c r="Y33" i="38"/>
  <c r="O33" i="38"/>
  <c r="N33" i="38"/>
  <c r="M33" i="38"/>
  <c r="F33" i="38"/>
  <c r="Q33" i="38"/>
  <c r="AH32" i="38"/>
  <c r="AJ32" i="38"/>
  <c r="AK32" i="38"/>
  <c r="AD32" i="38"/>
  <c r="AF32" i="38"/>
  <c r="AG32" i="38"/>
  <c r="Z32" i="38"/>
  <c r="AB32" i="38"/>
  <c r="AC32" i="38"/>
  <c r="Y32" i="38"/>
  <c r="O32" i="38"/>
  <c r="N32" i="38"/>
  <c r="M32" i="38"/>
  <c r="F32" i="38"/>
  <c r="P32" i="38" s="1"/>
  <c r="Q32" i="38"/>
  <c r="AH31" i="38"/>
  <c r="AJ31" i="38"/>
  <c r="AK31" i="38"/>
  <c r="AD31" i="38"/>
  <c r="AF31" i="38"/>
  <c r="AG31" i="38"/>
  <c r="Z31" i="38"/>
  <c r="AB31" i="38"/>
  <c r="AC31" i="38"/>
  <c r="Y31" i="38"/>
  <c r="O31" i="38"/>
  <c r="N31" i="38"/>
  <c r="M31" i="38"/>
  <c r="F31" i="38"/>
  <c r="R31" i="38"/>
  <c r="AM26" i="38"/>
  <c r="AP26" i="38"/>
  <c r="AS26" i="38"/>
  <c r="AD26" i="38"/>
  <c r="Y26" i="38"/>
  <c r="P26" i="38"/>
  <c r="AM25" i="38"/>
  <c r="AH25" i="38"/>
  <c r="AD25" i="38"/>
  <c r="AM24" i="38"/>
  <c r="AN24" i="38"/>
  <c r="AD24" i="38"/>
  <c r="AE24" i="38"/>
  <c r="Y24" i="38"/>
  <c r="AM23" i="38"/>
  <c r="AN23" i="38"/>
  <c r="AD23" i="38"/>
  <c r="AE23" i="38"/>
  <c r="Z23" i="38"/>
  <c r="AB23" i="38"/>
  <c r="AC23" i="38"/>
  <c r="Y23" i="38"/>
  <c r="O23" i="38"/>
  <c r="F23" i="38"/>
  <c r="R23" i="38"/>
  <c r="AM22" i="38"/>
  <c r="AN22" i="38"/>
  <c r="AD22" i="38"/>
  <c r="AE22" i="38"/>
  <c r="AF22" i="38"/>
  <c r="AG22" i="38"/>
  <c r="Z22" i="38"/>
  <c r="AB22" i="38"/>
  <c r="AC22" i="38"/>
  <c r="Y22" i="38"/>
  <c r="O22" i="38"/>
  <c r="F22" i="38"/>
  <c r="R22" i="38"/>
  <c r="AM21" i="38"/>
  <c r="AN21" i="38"/>
  <c r="AD21" i="38"/>
  <c r="AE21" i="38"/>
  <c r="Z21" i="38"/>
  <c r="AB21" i="38"/>
  <c r="AC21" i="38"/>
  <c r="Y21" i="38"/>
  <c r="O21" i="38"/>
  <c r="F21" i="38"/>
  <c r="Q21" i="38"/>
  <c r="AM20" i="38"/>
  <c r="AN20" i="38"/>
  <c r="AD20" i="38"/>
  <c r="AE20" i="38"/>
  <c r="AF20" i="38"/>
  <c r="AG20" i="38"/>
  <c r="AB20" i="38"/>
  <c r="AC20" i="38"/>
  <c r="Z20" i="38"/>
  <c r="Y20" i="38"/>
  <c r="O20" i="38"/>
  <c r="F20" i="38"/>
  <c r="Q20" i="38"/>
  <c r="AH19" i="38"/>
  <c r="AB19" i="38"/>
  <c r="AC19" i="38"/>
  <c r="AM18" i="38"/>
  <c r="AN18" i="38"/>
  <c r="AH18" i="38"/>
  <c r="AJ18" i="38"/>
  <c r="AK18" i="38"/>
  <c r="AD18" i="38"/>
  <c r="AF18" i="38"/>
  <c r="AG18" i="38"/>
  <c r="Z18" i="38"/>
  <c r="AB18" i="38"/>
  <c r="AC18" i="38"/>
  <c r="Y18" i="38"/>
  <c r="O18" i="38"/>
  <c r="N18" i="38"/>
  <c r="M18" i="38"/>
  <c r="F18" i="38"/>
  <c r="R18" i="38"/>
  <c r="AD17" i="38"/>
  <c r="AH16" i="38"/>
  <c r="AJ16" i="38"/>
  <c r="AK16" i="38"/>
  <c r="AD16" i="38"/>
  <c r="AF16" i="38"/>
  <c r="AG16" i="38"/>
  <c r="Z16" i="38"/>
  <c r="AB16" i="38"/>
  <c r="AC16" i="38"/>
  <c r="Y16" i="38"/>
  <c r="O16" i="38"/>
  <c r="N16" i="38"/>
  <c r="M16" i="38"/>
  <c r="F16" i="38"/>
  <c r="Q16" i="38"/>
  <c r="AH15" i="38"/>
  <c r="AJ15" i="38"/>
  <c r="AK15" i="38"/>
  <c r="AD15" i="38"/>
  <c r="AF15" i="38"/>
  <c r="AG15" i="38"/>
  <c r="Z15" i="38"/>
  <c r="AB15" i="38"/>
  <c r="AC15" i="38"/>
  <c r="Y15" i="38"/>
  <c r="O15" i="38"/>
  <c r="N15" i="38"/>
  <c r="M15" i="38"/>
  <c r="F15" i="38"/>
  <c r="P15" i="38" s="1"/>
  <c r="Q15" i="38"/>
  <c r="AH14" i="38"/>
  <c r="AJ14" i="38"/>
  <c r="AK14" i="38"/>
  <c r="O14" i="38"/>
  <c r="AD14" i="38"/>
  <c r="AF14" i="38"/>
  <c r="AG14" i="38"/>
  <c r="Z14" i="38"/>
  <c r="AB14" i="38"/>
  <c r="AC14" i="38"/>
  <c r="Y14" i="38"/>
  <c r="N14" i="38"/>
  <c r="M14" i="38"/>
  <c r="F14" i="38"/>
  <c r="R14" i="38"/>
  <c r="AH13" i="38"/>
  <c r="AJ13" i="38"/>
  <c r="AK13" i="38"/>
  <c r="AD13" i="38"/>
  <c r="AF13" i="38"/>
  <c r="AG13" i="38"/>
  <c r="Z13" i="38"/>
  <c r="AB13" i="38"/>
  <c r="AC13" i="38"/>
  <c r="Y13" i="38"/>
  <c r="O13" i="38"/>
  <c r="N13" i="38"/>
  <c r="M13" i="38"/>
  <c r="F13" i="38"/>
  <c r="Q13" i="38"/>
  <c r="AH12" i="38"/>
  <c r="AJ12" i="38"/>
  <c r="AK12" i="38"/>
  <c r="O12" i="38"/>
  <c r="AD12" i="38"/>
  <c r="AF12" i="38"/>
  <c r="AG12" i="38"/>
  <c r="Z12" i="38"/>
  <c r="AB12" i="38"/>
  <c r="AC12" i="38"/>
  <c r="Y12" i="38"/>
  <c r="N12" i="38"/>
  <c r="M12" i="38"/>
  <c r="F12" i="38"/>
  <c r="P12" i="38" s="1"/>
  <c r="R12" i="38"/>
  <c r="AH11" i="38"/>
  <c r="AJ11" i="38"/>
  <c r="AK11" i="38"/>
  <c r="AD11" i="38"/>
  <c r="AF11" i="38"/>
  <c r="AG11" i="38"/>
  <c r="Z11" i="38"/>
  <c r="AB11" i="38"/>
  <c r="AC11" i="38"/>
  <c r="Y11" i="38"/>
  <c r="O11" i="38"/>
  <c r="N11" i="38"/>
  <c r="M11" i="38"/>
  <c r="F11" i="38"/>
  <c r="Q11" i="38"/>
  <c r="AH10" i="38"/>
  <c r="AD10" i="38"/>
  <c r="AH9" i="38"/>
  <c r="AJ9" i="38"/>
  <c r="AK9" i="38"/>
  <c r="AD9" i="38"/>
  <c r="AF9" i="38"/>
  <c r="AG9" i="38"/>
  <c r="AB9" i="38"/>
  <c r="AC9" i="38"/>
  <c r="Y9" i="38"/>
  <c r="O9" i="38"/>
  <c r="N9" i="38"/>
  <c r="M9" i="38"/>
  <c r="F9" i="38"/>
  <c r="P9" i="38" s="1"/>
  <c r="Q9" i="38"/>
  <c r="AH8" i="38"/>
  <c r="AJ8" i="38"/>
  <c r="AK8" i="38"/>
  <c r="AD8" i="38"/>
  <c r="AF8" i="38"/>
  <c r="AG8" i="38"/>
  <c r="AB8" i="38"/>
  <c r="AC8" i="38"/>
  <c r="Y8" i="38"/>
  <c r="O8" i="38"/>
  <c r="N8" i="38"/>
  <c r="M8" i="38"/>
  <c r="F8" i="38"/>
  <c r="P8" i="38" s="1"/>
  <c r="Q8" i="38"/>
  <c r="O62" i="35"/>
  <c r="N62" i="35"/>
  <c r="M62" i="35"/>
  <c r="O61" i="35"/>
  <c r="N61" i="35"/>
  <c r="M61" i="35"/>
  <c r="O60" i="35"/>
  <c r="N60" i="35"/>
  <c r="M60" i="35"/>
  <c r="O59" i="35"/>
  <c r="N59" i="35"/>
  <c r="M59" i="35"/>
  <c r="O58" i="35"/>
  <c r="N58" i="35"/>
  <c r="M58" i="35"/>
  <c r="F62" i="35"/>
  <c r="Q62" i="35" s="1"/>
  <c r="R62" i="35"/>
  <c r="F61" i="35"/>
  <c r="P61" i="35" s="1"/>
  <c r="R61" i="35"/>
  <c r="F60" i="35"/>
  <c r="Q60" i="35" s="1"/>
  <c r="R60" i="35"/>
  <c r="F59" i="35"/>
  <c r="P59" i="35"/>
  <c r="F58" i="35"/>
  <c r="Q58" i="35" s="1"/>
  <c r="R58" i="35"/>
  <c r="T98" i="35"/>
  <c r="V88" i="35"/>
  <c r="U89" i="35"/>
  <c r="V89" i="35"/>
  <c r="O37" i="35"/>
  <c r="N37" i="35"/>
  <c r="R108" i="35"/>
  <c r="R109" i="35"/>
  <c r="R110" i="35"/>
  <c r="R111" i="35"/>
  <c r="F116" i="35"/>
  <c r="F113" i="35"/>
  <c r="H111" i="35"/>
  <c r="K111" i="35"/>
  <c r="N111" i="35"/>
  <c r="O111" i="35"/>
  <c r="H110" i="35"/>
  <c r="K110" i="35"/>
  <c r="L110" i="35"/>
  <c r="H109" i="35"/>
  <c r="K109" i="35"/>
  <c r="N109" i="35"/>
  <c r="O109" i="35"/>
  <c r="H108" i="35"/>
  <c r="K108" i="35"/>
  <c r="L108" i="35"/>
  <c r="H107" i="35"/>
  <c r="K107" i="35"/>
  <c r="N107" i="35"/>
  <c r="O107" i="35"/>
  <c r="Q26" i="35"/>
  <c r="O23" i="35"/>
  <c r="O22" i="35"/>
  <c r="O20" i="35"/>
  <c r="O21" i="35"/>
  <c r="F20" i="35"/>
  <c r="Q20" i="35"/>
  <c r="O46" i="35"/>
  <c r="N46" i="35"/>
  <c r="M46" i="35"/>
  <c r="O44" i="35"/>
  <c r="N44" i="35"/>
  <c r="M44" i="35"/>
  <c r="O42" i="35"/>
  <c r="N42" i="35"/>
  <c r="M42" i="35"/>
  <c r="O41" i="35"/>
  <c r="N41" i="35"/>
  <c r="M41" i="35"/>
  <c r="F40" i="35"/>
  <c r="O40" i="35"/>
  <c r="N40" i="35"/>
  <c r="M40" i="35"/>
  <c r="O39" i="35"/>
  <c r="N39" i="35"/>
  <c r="M39" i="35"/>
  <c r="O33" i="35"/>
  <c r="N33" i="35"/>
  <c r="M33" i="35"/>
  <c r="O35" i="35"/>
  <c r="N35" i="35"/>
  <c r="M35" i="35"/>
  <c r="O32" i="35"/>
  <c r="N32" i="35"/>
  <c r="M32" i="35"/>
  <c r="O34" i="35"/>
  <c r="N34" i="35"/>
  <c r="M34" i="35"/>
  <c r="O31" i="35"/>
  <c r="N31" i="35"/>
  <c r="M31" i="35"/>
  <c r="O15" i="35"/>
  <c r="N15" i="35"/>
  <c r="O16" i="35"/>
  <c r="N16" i="35"/>
  <c r="N14" i="35"/>
  <c r="O13" i="35"/>
  <c r="N13" i="35"/>
  <c r="N12" i="35"/>
  <c r="O11" i="35"/>
  <c r="N11" i="35"/>
  <c r="O9" i="35"/>
  <c r="N9" i="35"/>
  <c r="F46" i="35"/>
  <c r="R46" i="35"/>
  <c r="F35" i="35"/>
  <c r="Q35" i="35"/>
  <c r="F12" i="35"/>
  <c r="R12" i="35"/>
  <c r="O18" i="35"/>
  <c r="N18" i="35"/>
  <c r="M18" i="35"/>
  <c r="M16" i="35"/>
  <c r="M15" i="35"/>
  <c r="M14" i="35"/>
  <c r="M13" i="35"/>
  <c r="M12" i="35"/>
  <c r="M11" i="35"/>
  <c r="AB20" i="35"/>
  <c r="M9" i="35"/>
  <c r="F9" i="35"/>
  <c r="R9" i="35"/>
  <c r="O8" i="35"/>
  <c r="N8" i="35"/>
  <c r="M8" i="35"/>
  <c r="Z46" i="35"/>
  <c r="Z45" i="35"/>
  <c r="AB45" i="35"/>
  <c r="AC45" i="35"/>
  <c r="Z44" i="35"/>
  <c r="AB44" i="35"/>
  <c r="AC44" i="35"/>
  <c r="Z43" i="35"/>
  <c r="AB43" i="35"/>
  <c r="AC43" i="35"/>
  <c r="Z42" i="35"/>
  <c r="AB42" i="35"/>
  <c r="AC42" i="35"/>
  <c r="Z41" i="35"/>
  <c r="AB41" i="35"/>
  <c r="AC41" i="35"/>
  <c r="Z40" i="35"/>
  <c r="AB40" i="35"/>
  <c r="AC40" i="35"/>
  <c r="Z39" i="35"/>
  <c r="AB39" i="35"/>
  <c r="AC39" i="35"/>
  <c r="Z38" i="35"/>
  <c r="AB38" i="35"/>
  <c r="AC38" i="35"/>
  <c r="Z37" i="35"/>
  <c r="AB37" i="35"/>
  <c r="AC37" i="35"/>
  <c r="Z36" i="35"/>
  <c r="Z35" i="35"/>
  <c r="AB35" i="35"/>
  <c r="AC35" i="35"/>
  <c r="Z34" i="35"/>
  <c r="AB34" i="35"/>
  <c r="AC34" i="35"/>
  <c r="Z33" i="35"/>
  <c r="AB33" i="35"/>
  <c r="AC33" i="35"/>
  <c r="Z32" i="35"/>
  <c r="AB32" i="35"/>
  <c r="AC32" i="35"/>
  <c r="Z31" i="35"/>
  <c r="AB31" i="35"/>
  <c r="AC31" i="35"/>
  <c r="AH16" i="35"/>
  <c r="AJ16" i="35"/>
  <c r="AK16" i="35"/>
  <c r="AH15" i="35"/>
  <c r="AJ15" i="35"/>
  <c r="AK15" i="35"/>
  <c r="AH14" i="35"/>
  <c r="AJ14" i="35"/>
  <c r="AK14" i="35"/>
  <c r="O14" i="35"/>
  <c r="AH13" i="35"/>
  <c r="AH12" i="35"/>
  <c r="AD46" i="35"/>
  <c r="AF46" i="35"/>
  <c r="AG46" i="35"/>
  <c r="AD44" i="35"/>
  <c r="AF44" i="35"/>
  <c r="AG44" i="35"/>
  <c r="AD43" i="35"/>
  <c r="AD42" i="35"/>
  <c r="AF42" i="35"/>
  <c r="AG42" i="35"/>
  <c r="AD41" i="35"/>
  <c r="AD40" i="35"/>
  <c r="AF40" i="35"/>
  <c r="AD39" i="35"/>
  <c r="AD38" i="35"/>
  <c r="AD37" i="35"/>
  <c r="AD35" i="35"/>
  <c r="AF35" i="35"/>
  <c r="AG35" i="35"/>
  <c r="AD34" i="35"/>
  <c r="AD33" i="35"/>
  <c r="AD32" i="35"/>
  <c r="AD31" i="35"/>
  <c r="AD23" i="35"/>
  <c r="AD22" i="35"/>
  <c r="AD21" i="35"/>
  <c r="AD20" i="35"/>
  <c r="AD18" i="35"/>
  <c r="AF18" i="35"/>
  <c r="AG18" i="35"/>
  <c r="AD17" i="35"/>
  <c r="AD16" i="35"/>
  <c r="AF16" i="35"/>
  <c r="AG16" i="35"/>
  <c r="AD15" i="35"/>
  <c r="AF15" i="35"/>
  <c r="AG15" i="35"/>
  <c r="AD14" i="35"/>
  <c r="AD13" i="35"/>
  <c r="AF13" i="35"/>
  <c r="AG13" i="35"/>
  <c r="AD12" i="35"/>
  <c r="AF12" i="35"/>
  <c r="AG12" i="35"/>
  <c r="AD9" i="35"/>
  <c r="AD8" i="35"/>
  <c r="AD11" i="35"/>
  <c r="AH46" i="35"/>
  <c r="AJ46" i="35"/>
  <c r="AK46" i="35"/>
  <c r="AH44" i="35"/>
  <c r="AH43" i="35"/>
  <c r="AH42" i="35"/>
  <c r="AH41" i="35"/>
  <c r="AJ41" i="35"/>
  <c r="AK41" i="35"/>
  <c r="AH40" i="35"/>
  <c r="AH39" i="35"/>
  <c r="AH38" i="35"/>
  <c r="AH37" i="35"/>
  <c r="AH35" i="35"/>
  <c r="AH34" i="35"/>
  <c r="AJ34" i="35"/>
  <c r="AK34" i="35"/>
  <c r="AH33" i="35"/>
  <c r="AH32" i="35"/>
  <c r="AJ32" i="35"/>
  <c r="AK32" i="35"/>
  <c r="AH31" i="35"/>
  <c r="AH25" i="35"/>
  <c r="AH19" i="35"/>
  <c r="AH18" i="35"/>
  <c r="AJ18" i="35"/>
  <c r="AK18" i="35"/>
  <c r="AH11" i="35"/>
  <c r="AC20" i="35"/>
  <c r="AB19" i="35"/>
  <c r="AC19" i="35"/>
  <c r="Z23" i="35"/>
  <c r="AB23" i="35"/>
  <c r="AC23" i="35"/>
  <c r="Z22" i="35"/>
  <c r="AB22" i="35"/>
  <c r="AC22" i="35"/>
  <c r="Z21" i="35"/>
  <c r="AB21" i="35"/>
  <c r="AC21" i="35"/>
  <c r="Z20" i="35"/>
  <c r="Z18" i="35"/>
  <c r="AB18" i="35"/>
  <c r="AC18" i="35"/>
  <c r="Z16" i="35"/>
  <c r="AB16" i="35"/>
  <c r="AC16" i="35"/>
  <c r="Z15" i="35"/>
  <c r="AB15" i="35"/>
  <c r="AC15" i="35"/>
  <c r="Z14" i="35"/>
  <c r="AB14" i="35"/>
  <c r="AC14" i="35"/>
  <c r="Z13" i="35"/>
  <c r="AB13" i="35"/>
  <c r="AC13" i="35"/>
  <c r="Z12" i="35"/>
  <c r="AB12" i="35"/>
  <c r="AC12" i="35"/>
  <c r="Z11" i="35"/>
  <c r="AB11" i="35"/>
  <c r="AC11" i="35"/>
  <c r="AB9" i="35"/>
  <c r="AC9" i="35"/>
  <c r="AB8" i="35"/>
  <c r="AC8" i="35"/>
  <c r="F8" i="35"/>
  <c r="P8" i="35"/>
  <c r="F46" i="37"/>
  <c r="F45" i="37"/>
  <c r="F44" i="37"/>
  <c r="J46" i="37"/>
  <c r="J45" i="37"/>
  <c r="J44" i="37"/>
  <c r="H46" i="37"/>
  <c r="H45" i="37"/>
  <c r="H44" i="37"/>
  <c r="J48" i="37"/>
  <c r="H48" i="37"/>
  <c r="F48" i="37"/>
  <c r="J43" i="37"/>
  <c r="J42" i="37"/>
  <c r="J41" i="37"/>
  <c r="J40" i="37"/>
  <c r="J39" i="37"/>
  <c r="J38" i="37"/>
  <c r="J37" i="37"/>
  <c r="J36" i="37"/>
  <c r="J35" i="37"/>
  <c r="J34" i="37"/>
  <c r="J33" i="37"/>
  <c r="J32" i="37"/>
  <c r="J31" i="37"/>
  <c r="J30" i="37"/>
  <c r="J29" i="37"/>
  <c r="J28" i="37"/>
  <c r="J27" i="37"/>
  <c r="J26" i="37"/>
  <c r="H43" i="37"/>
  <c r="H42" i="37"/>
  <c r="H41" i="37"/>
  <c r="H40" i="37"/>
  <c r="H39" i="37"/>
  <c r="H38" i="37"/>
  <c r="H37" i="37"/>
  <c r="H36" i="37"/>
  <c r="H35" i="37"/>
  <c r="H34" i="37"/>
  <c r="H33" i="37"/>
  <c r="H32" i="37"/>
  <c r="H31" i="37"/>
  <c r="H30" i="37"/>
  <c r="H29" i="37"/>
  <c r="H28" i="37"/>
  <c r="H27" i="37"/>
  <c r="H26" i="37"/>
  <c r="F43" i="37"/>
  <c r="F42" i="37"/>
  <c r="F41" i="37"/>
  <c r="F40" i="37"/>
  <c r="F39" i="37"/>
  <c r="F38" i="37"/>
  <c r="F37" i="37"/>
  <c r="F36" i="37"/>
  <c r="F35" i="37"/>
  <c r="F34" i="37"/>
  <c r="F33" i="37"/>
  <c r="F32" i="37"/>
  <c r="F31" i="37"/>
  <c r="F30" i="37"/>
  <c r="F29" i="37"/>
  <c r="F28" i="37"/>
  <c r="F27" i="37"/>
  <c r="F26" i="37"/>
  <c r="J25" i="37"/>
  <c r="H25" i="37"/>
  <c r="F25" i="37"/>
  <c r="F44" i="35"/>
  <c r="Q44" i="35"/>
  <c r="F42" i="35"/>
  <c r="R42" i="35"/>
  <c r="F41" i="35"/>
  <c r="Q41" i="35"/>
  <c r="F39" i="35"/>
  <c r="F34" i="35"/>
  <c r="Q34" i="35"/>
  <c r="F33" i="35"/>
  <c r="R33" i="35"/>
  <c r="F32" i="35"/>
  <c r="Q32" i="35"/>
  <c r="F31" i="35"/>
  <c r="R31" i="35"/>
  <c r="F37" i="35"/>
  <c r="Q37" i="35"/>
  <c r="F18" i="35"/>
  <c r="F16" i="35"/>
  <c r="P16" i="35"/>
  <c r="F15" i="35"/>
  <c r="Q15" i="35"/>
  <c r="F14" i="35"/>
  <c r="Q14" i="35"/>
  <c r="F13" i="35"/>
  <c r="Q13" i="35"/>
  <c r="F11" i="35"/>
  <c r="Q11" i="35"/>
  <c r="U66" i="35"/>
  <c r="F23" i="35"/>
  <c r="Q23" i="35"/>
  <c r="F22" i="35"/>
  <c r="R22" i="35"/>
  <c r="AJ42" i="35"/>
  <c r="AK42" i="35"/>
  <c r="AE23" i="35"/>
  <c r="AH23" i="35"/>
  <c r="AE21" i="35"/>
  <c r="AH21" i="35"/>
  <c r="AE20" i="35"/>
  <c r="AH20" i="35"/>
  <c r="D15" i="37"/>
  <c r="K12" i="37"/>
  <c r="K11" i="37"/>
  <c r="K10" i="37"/>
  <c r="K9" i="37"/>
  <c r="K8" i="37"/>
  <c r="K7" i="37"/>
  <c r="K6" i="37"/>
  <c r="K5" i="37"/>
  <c r="K4" i="37"/>
  <c r="K3" i="37"/>
  <c r="G12" i="37"/>
  <c r="G11" i="37"/>
  <c r="G10" i="37"/>
  <c r="G9" i="37"/>
  <c r="G8" i="37"/>
  <c r="G7" i="37"/>
  <c r="G6" i="37"/>
  <c r="G5" i="37"/>
  <c r="G4" i="37"/>
  <c r="G3" i="37"/>
  <c r="D12" i="37"/>
  <c r="D11" i="37"/>
  <c r="D10" i="37"/>
  <c r="D9" i="37"/>
  <c r="D8" i="37"/>
  <c r="D14" i="37" s="1"/>
  <c r="D16" i="37" s="1"/>
  <c r="D7" i="37"/>
  <c r="D6" i="37"/>
  <c r="D5" i="37"/>
  <c r="D4" i="37"/>
  <c r="D3" i="37"/>
  <c r="F14" i="37"/>
  <c r="H12" i="37"/>
  <c r="L12" i="37"/>
  <c r="M12" i="37" s="1"/>
  <c r="H11" i="37"/>
  <c r="L11" i="37"/>
  <c r="M11" i="37" s="1"/>
  <c r="H10" i="37"/>
  <c r="L10" i="37"/>
  <c r="M10" i="37" s="1"/>
  <c r="H9" i="37"/>
  <c r="L9" i="37"/>
  <c r="M9" i="37" s="1"/>
  <c r="H8" i="37"/>
  <c r="L8" i="37"/>
  <c r="M8" i="37" s="1"/>
  <c r="H7" i="37"/>
  <c r="L7" i="37"/>
  <c r="M7" i="37" s="1"/>
  <c r="H6" i="37"/>
  <c r="L6" i="37"/>
  <c r="M6" i="37" s="1"/>
  <c r="H5" i="37"/>
  <c r="L5" i="37"/>
  <c r="M5" i="37" s="1"/>
  <c r="H4" i="37"/>
  <c r="L4" i="37"/>
  <c r="M4" i="37" s="1"/>
  <c r="H3" i="37"/>
  <c r="L3" i="37"/>
  <c r="M3" i="37" s="1"/>
  <c r="E12" i="37"/>
  <c r="E11" i="37"/>
  <c r="E10" i="37"/>
  <c r="E9" i="37"/>
  <c r="E8" i="37"/>
  <c r="E7" i="37"/>
  <c r="E6" i="37"/>
  <c r="E5" i="37"/>
  <c r="E4" i="37"/>
  <c r="E3" i="37"/>
  <c r="F21" i="35"/>
  <c r="Q21" i="35"/>
  <c r="Y46" i="35"/>
  <c r="Y42" i="35"/>
  <c r="F112" i="35"/>
  <c r="W88" i="35"/>
  <c r="V84" i="35"/>
  <c r="U85" i="35"/>
  <c r="AV66" i="35"/>
  <c r="AV67" i="35"/>
  <c r="AS66" i="35"/>
  <c r="AS67" i="35"/>
  <c r="AP66" i="35"/>
  <c r="AP67" i="35"/>
  <c r="AQ65" i="35"/>
  <c r="AO65" i="35"/>
  <c r="AQ64" i="35"/>
  <c r="AR64" i="35"/>
  <c r="AO64" i="35"/>
  <c r="AQ63" i="35"/>
  <c r="AT63" i="35"/>
  <c r="AU63" i="35"/>
  <c r="AO63" i="35"/>
  <c r="AQ62" i="35"/>
  <c r="AR62" i="35"/>
  <c r="AO62" i="35"/>
  <c r="AQ57" i="35"/>
  <c r="AR57" i="35"/>
  <c r="AO57" i="35"/>
  <c r="AD45" i="35"/>
  <c r="AJ44" i="35"/>
  <c r="AK44" i="35"/>
  <c r="Y44" i="35"/>
  <c r="AF41" i="35"/>
  <c r="AG41" i="35"/>
  <c r="Y41" i="35"/>
  <c r="AJ40" i="35"/>
  <c r="AK40" i="35"/>
  <c r="AG40" i="35"/>
  <c r="Y40" i="35"/>
  <c r="AJ39" i="35"/>
  <c r="AK39" i="35"/>
  <c r="AF39" i="35"/>
  <c r="AG39" i="35"/>
  <c r="Y39" i="35"/>
  <c r="AM37" i="35"/>
  <c r="AN37" i="35"/>
  <c r="Y37" i="35"/>
  <c r="AD36" i="35"/>
  <c r="AJ35" i="35"/>
  <c r="AK35" i="35"/>
  <c r="Y35" i="35"/>
  <c r="AF34" i="35"/>
  <c r="AG34" i="35"/>
  <c r="Y34" i="35"/>
  <c r="AJ33" i="35"/>
  <c r="AK33" i="35"/>
  <c r="AF33" i="35"/>
  <c r="AG33" i="35"/>
  <c r="Y33" i="35"/>
  <c r="AF32" i="35"/>
  <c r="AG32" i="35"/>
  <c r="Y32" i="35"/>
  <c r="AJ31" i="35"/>
  <c r="AK31" i="35"/>
  <c r="AF31" i="35"/>
  <c r="AG31" i="35"/>
  <c r="Y31" i="35"/>
  <c r="AM26" i="35"/>
  <c r="AP26" i="35"/>
  <c r="AS26" i="35"/>
  <c r="AD26" i="35"/>
  <c r="Y26" i="35"/>
  <c r="AM25" i="35"/>
  <c r="AD25" i="35"/>
  <c r="AM24" i="35"/>
  <c r="AP24" i="35"/>
  <c r="AD24" i="35"/>
  <c r="AE24" i="35"/>
  <c r="Y24" i="35"/>
  <c r="AM23" i="35"/>
  <c r="AP23" i="35"/>
  <c r="Y23" i="35"/>
  <c r="AM22" i="35"/>
  <c r="AN22" i="35"/>
  <c r="AE22" i="35"/>
  <c r="AH22" i="35"/>
  <c r="Y22" i="35"/>
  <c r="AM21" i="35"/>
  <c r="AP21" i="35"/>
  <c r="AS21" i="35"/>
  <c r="AT21" i="35"/>
  <c r="Y21" i="35"/>
  <c r="AM20" i="35"/>
  <c r="AN20" i="35"/>
  <c r="Y20" i="35"/>
  <c r="AM18" i="35"/>
  <c r="AN18" i="35"/>
  <c r="Y18" i="35"/>
  <c r="Y16" i="35"/>
  <c r="Y15" i="35"/>
  <c r="AF14" i="35"/>
  <c r="AG14" i="35"/>
  <c r="Y14" i="35"/>
  <c r="AJ13" i="35"/>
  <c r="AK13" i="35"/>
  <c r="Y13" i="35"/>
  <c r="AJ12" i="35"/>
  <c r="AK12" i="35"/>
  <c r="O12" i="35"/>
  <c r="Y12" i="35"/>
  <c r="AJ11" i="35"/>
  <c r="AK11" i="35"/>
  <c r="AF11" i="35"/>
  <c r="AG11" i="35"/>
  <c r="Y11" i="35"/>
  <c r="AH10" i="35"/>
  <c r="AD10" i="35"/>
  <c r="AH9" i="35"/>
  <c r="AJ9" i="35"/>
  <c r="AK9" i="35"/>
  <c r="AF9" i="35"/>
  <c r="AG9" i="35"/>
  <c r="Y9" i="35"/>
  <c r="AH8" i="35"/>
  <c r="AJ8" i="35"/>
  <c r="AK8" i="35"/>
  <c r="AF8" i="35"/>
  <c r="AG8" i="35"/>
  <c r="Y8" i="35"/>
  <c r="AT62" i="35"/>
  <c r="AU62" i="35"/>
  <c r="AT65" i="35"/>
  <c r="AU65" i="35"/>
  <c r="AR65" i="35"/>
  <c r="I7" i="37"/>
  <c r="I8" i="37"/>
  <c r="I12" i="37"/>
  <c r="AT64" i="35"/>
  <c r="AU64" i="35"/>
  <c r="AP22" i="35"/>
  <c r="AS22" i="35"/>
  <c r="AT22" i="35"/>
  <c r="AT57" i="35"/>
  <c r="AU57" i="35"/>
  <c r="AP18" i="35"/>
  <c r="AS18" i="35"/>
  <c r="AT18" i="35"/>
  <c r="AP37" i="35"/>
  <c r="AS37" i="35"/>
  <c r="AT37" i="35"/>
  <c r="V85" i="35"/>
  <c r="W85" i="35"/>
  <c r="I3" i="37"/>
  <c r="I10" i="37"/>
  <c r="I6" i="37"/>
  <c r="I11" i="37"/>
  <c r="I9" i="37"/>
  <c r="I4" i="37"/>
  <c r="K14" i="37"/>
  <c r="G14" i="37"/>
  <c r="I5" i="37"/>
  <c r="R26" i="38"/>
  <c r="V94" i="38"/>
  <c r="R8" i="38"/>
  <c r="R15" i="38"/>
  <c r="R32" i="38"/>
  <c r="AP37" i="38"/>
  <c r="AS37" i="38"/>
  <c r="AT37" i="38"/>
  <c r="R110" i="38"/>
  <c r="R111" i="38"/>
  <c r="P23" i="38"/>
  <c r="P37" i="38"/>
  <c r="Q57" i="38"/>
  <c r="AT61" i="38"/>
  <c r="AU61" i="38"/>
  <c r="P42" i="38"/>
  <c r="AQ22" i="35"/>
  <c r="P13" i="35"/>
  <c r="P15" i="35"/>
  <c r="P18" i="35"/>
  <c r="Q12" i="35"/>
  <c r="R15" i="35"/>
  <c r="Q31" i="35"/>
  <c r="P39" i="35"/>
  <c r="Q22" i="35"/>
  <c r="P26" i="35"/>
  <c r="R39" i="35"/>
  <c r="U94" i="35"/>
  <c r="U98" i="35"/>
  <c r="I107" i="35"/>
  <c r="I109" i="35"/>
  <c r="I111" i="35"/>
  <c r="U86" i="35"/>
  <c r="V86" i="35"/>
  <c r="R13" i="35"/>
  <c r="R18" i="35"/>
  <c r="Q33" i="35"/>
  <c r="Q46" i="35"/>
  <c r="R26" i="35"/>
  <c r="Q42" i="35"/>
  <c r="I110" i="35"/>
  <c r="L107" i="35"/>
  <c r="L109" i="35"/>
  <c r="AP20" i="35"/>
  <c r="AQ20" i="35"/>
  <c r="N108" i="35"/>
  <c r="O108" i="35"/>
  <c r="N110" i="35"/>
  <c r="O110" i="35"/>
  <c r="AF21" i="35"/>
  <c r="AG21" i="35"/>
  <c r="Q8" i="35"/>
  <c r="P9" i="35"/>
  <c r="R11" i="35"/>
  <c r="P35" i="35"/>
  <c r="R21" i="35"/>
  <c r="P23" i="35"/>
  <c r="R44" i="35"/>
  <c r="R14" i="35"/>
  <c r="R16" i="35"/>
  <c r="R37" i="35"/>
  <c r="R34" i="35"/>
  <c r="R8" i="35"/>
  <c r="P11" i="35"/>
  <c r="Q16" i="35"/>
  <c r="R35" i="35"/>
  <c r="R40" i="35"/>
  <c r="P40" i="35"/>
  <c r="R20" i="35"/>
  <c r="P20" i="35"/>
  <c r="P21" i="35"/>
  <c r="R23" i="35"/>
  <c r="Q40" i="35"/>
  <c r="R41" i="35"/>
  <c r="P12" i="35"/>
  <c r="P33" i="35"/>
  <c r="P46" i="35"/>
  <c r="P22" i="35"/>
  <c r="P42" i="35"/>
  <c r="AN23" i="35"/>
  <c r="AN21" i="35"/>
  <c r="U90" i="35"/>
  <c r="V90" i="35"/>
  <c r="U91" i="35"/>
  <c r="W94" i="38"/>
  <c r="AQ37" i="38"/>
  <c r="AS20" i="35"/>
  <c r="AT20" i="35"/>
  <c r="V94" i="35"/>
  <c r="V98" i="35"/>
  <c r="U100" i="35"/>
  <c r="AS23" i="35"/>
  <c r="AT23" i="35"/>
  <c r="AQ23" i="35"/>
  <c r="P58" i="35"/>
  <c r="P60" i="35"/>
  <c r="P62" i="35"/>
  <c r="R59" i="35"/>
  <c r="AF22" i="35"/>
  <c r="AG22" i="35"/>
  <c r="W84" i="35"/>
  <c r="P14" i="35"/>
  <c r="P31" i="35"/>
  <c r="W89" i="35"/>
  <c r="U87" i="35"/>
  <c r="W86" i="35"/>
  <c r="W94" i="35"/>
  <c r="W98" i="35"/>
  <c r="V100" i="35"/>
  <c r="AS24" i="35"/>
  <c r="AT24" i="35"/>
  <c r="AQ24" i="35"/>
  <c r="V91" i="35"/>
  <c r="W91" i="35"/>
  <c r="O113" i="35"/>
  <c r="O115" i="35"/>
  <c r="AH24" i="35"/>
  <c r="AF24" i="35"/>
  <c r="AG24" i="35"/>
  <c r="R112" i="35"/>
  <c r="R113" i="35"/>
  <c r="W90" i="35"/>
  <c r="AQ21" i="35"/>
  <c r="P44" i="35"/>
  <c r="P32" i="35"/>
  <c r="P34" i="35"/>
  <c r="P37" i="35"/>
  <c r="AQ37" i="35"/>
  <c r="P41" i="35"/>
  <c r="R32" i="35"/>
  <c r="Q9" i="35"/>
  <c r="AF23" i="35"/>
  <c r="AG23" i="35"/>
  <c r="L111" i="35"/>
  <c r="L113" i="35"/>
  <c r="L115" i="35"/>
  <c r="I108" i="35"/>
  <c r="I113" i="35"/>
  <c r="I115" i="35"/>
  <c r="AF20" i="35"/>
  <c r="AG20" i="35"/>
  <c r="AQ18" i="35"/>
  <c r="AN24" i="35"/>
  <c r="AR63" i="35"/>
  <c r="Q18" i="35"/>
  <c r="Q39" i="35"/>
  <c r="Q59" i="35"/>
  <c r="Q61" i="35"/>
  <c r="K107" i="38"/>
  <c r="N107" i="38"/>
  <c r="O107" i="38"/>
  <c r="P18" i="38"/>
  <c r="R57" i="38"/>
  <c r="R58" i="38"/>
  <c r="P59" i="38"/>
  <c r="P60" i="38"/>
  <c r="AR64" i="38"/>
  <c r="K109" i="38"/>
  <c r="N109" i="38"/>
  <c r="O109" i="38"/>
  <c r="R41" i="38"/>
  <c r="P41" i="38"/>
  <c r="AP18" i="38"/>
  <c r="P39" i="38"/>
  <c r="R44" i="38"/>
  <c r="P44" i="38"/>
  <c r="L107" i="38"/>
  <c r="L109" i="38"/>
  <c r="P33" i="38"/>
  <c r="P21" i="38"/>
  <c r="P14" i="38"/>
  <c r="R34" i="38"/>
  <c r="R11" i="38"/>
  <c r="P11" i="38"/>
  <c r="R21" i="38"/>
  <c r="R33" i="38"/>
  <c r="P35" i="38"/>
  <c r="R61" i="38"/>
  <c r="AF23" i="38"/>
  <c r="AG23" i="38"/>
  <c r="AH23" i="38"/>
  <c r="AF21" i="38"/>
  <c r="AG21" i="38"/>
  <c r="AH21" i="38"/>
  <c r="AF24" i="38"/>
  <c r="AG24" i="38"/>
  <c r="AH24" i="38"/>
  <c r="Q58" i="38"/>
  <c r="P40" i="38"/>
  <c r="N110" i="38"/>
  <c r="O110" i="38"/>
  <c r="N108" i="38"/>
  <c r="O108" i="38"/>
  <c r="U84" i="38"/>
  <c r="AT63" i="38"/>
  <c r="AU63" i="38"/>
  <c r="R46" i="38"/>
  <c r="P31" i="38"/>
  <c r="P22" i="38"/>
  <c r="P20" i="38"/>
  <c r="P16" i="38"/>
  <c r="P46" i="38"/>
  <c r="P34" i="38"/>
  <c r="Q26" i="38"/>
  <c r="P13" i="38"/>
  <c r="R9" i="38"/>
  <c r="R16" i="38"/>
  <c r="AP24" i="38"/>
  <c r="R40" i="38"/>
  <c r="AR56" i="38"/>
  <c r="P57" i="38"/>
  <c r="P58" i="38"/>
  <c r="R60" i="38"/>
  <c r="Q60" i="38"/>
  <c r="P61" i="38"/>
  <c r="AR62" i="38"/>
  <c r="I110" i="38"/>
  <c r="R112" i="38"/>
  <c r="R113" i="38"/>
  <c r="Q12" i="38"/>
  <c r="R13" i="38"/>
  <c r="Q14" i="38"/>
  <c r="Q18" i="38"/>
  <c r="R20" i="38"/>
  <c r="AH20" i="38"/>
  <c r="Q22" i="38"/>
  <c r="AP22" i="38"/>
  <c r="Q23" i="38"/>
  <c r="AP23" i="38"/>
  <c r="Q31" i="38"/>
  <c r="R35" i="38"/>
  <c r="R39" i="38"/>
  <c r="R42" i="38"/>
  <c r="U89" i="38"/>
  <c r="I108" i="38"/>
  <c r="K111" i="38"/>
  <c r="AP20" i="38"/>
  <c r="AP21" i="38"/>
  <c r="AH22" i="38"/>
  <c r="V87" i="35"/>
  <c r="W87" i="35"/>
  <c r="W100" i="35"/>
  <c r="AS18" i="38"/>
  <c r="AT18" i="38"/>
  <c r="AQ18" i="38"/>
  <c r="I113" i="38"/>
  <c r="I115" i="38"/>
  <c r="V84" i="38"/>
  <c r="U85" i="38"/>
  <c r="AS24" i="38"/>
  <c r="AT24" i="38"/>
  <c r="AQ24" i="38"/>
  <c r="AS21" i="38"/>
  <c r="AT21" i="38"/>
  <c r="AQ21" i="38"/>
  <c r="N111" i="38"/>
  <c r="O111" i="38"/>
  <c r="O113" i="38"/>
  <c r="O115" i="38"/>
  <c r="L111" i="38"/>
  <c r="L113" i="38"/>
  <c r="L115" i="38"/>
  <c r="V89" i="38"/>
  <c r="W89" i="38"/>
  <c r="AS20" i="38"/>
  <c r="AT20" i="38"/>
  <c r="AQ20" i="38"/>
  <c r="AS23" i="38"/>
  <c r="AT23" i="38"/>
  <c r="AQ23" i="38"/>
  <c r="AS22" i="38"/>
  <c r="AT22" i="38"/>
  <c r="AQ22" i="38"/>
  <c r="W84" i="38"/>
  <c r="U90" i="38"/>
  <c r="V85" i="38"/>
  <c r="U86" i="38"/>
  <c r="V86" i="38"/>
  <c r="W86" i="38"/>
  <c r="V90" i="38"/>
  <c r="U91" i="38"/>
  <c r="W85" i="38"/>
  <c r="V91" i="38"/>
  <c r="W91" i="38"/>
  <c r="W90" i="38"/>
  <c r="P24" i="35"/>
  <c r="R24" i="35"/>
  <c r="P63" i="35" l="1"/>
  <c r="R63" i="35"/>
  <c r="Q63" i="35"/>
  <c r="R24" i="38"/>
  <c r="R62" i="38" s="1"/>
  <c r="Q24" i="38"/>
  <c r="Q62" i="38" s="1"/>
  <c r="P24" i="38"/>
  <c r="P62" i="38" s="1"/>
  <c r="P63" i="38" l="1"/>
  <c r="P64" i="38"/>
  <c r="P65" i="38" s="1"/>
  <c r="Q63" i="38"/>
  <c r="Q64" i="38"/>
  <c r="Q65" i="38" s="1"/>
  <c r="R63" i="38"/>
  <c r="R64" i="38"/>
  <c r="R65" i="38" s="1"/>
  <c r="Q64" i="35"/>
  <c r="Q65" i="35"/>
  <c r="Q66" i="35" s="1"/>
  <c r="R64" i="35"/>
  <c r="R65" i="35"/>
  <c r="R66" i="35" s="1"/>
  <c r="P64" i="35"/>
  <c r="P65" i="35"/>
  <c r="P66" i="35" s="1"/>
</calcChain>
</file>

<file path=xl/sharedStrings.xml><?xml version="1.0" encoding="utf-8"?>
<sst xmlns="http://schemas.openxmlformats.org/spreadsheetml/2006/main" count="959" uniqueCount="202">
  <si>
    <t xml:space="preserve">9. ค่าใช้จ่ายเกี่ยวกับเงินเดือนและประโยชน์ตอบแทนอื่น </t>
  </si>
  <si>
    <t>(ไม่รวมเบี้ย)</t>
  </si>
  <si>
    <t xml:space="preserve">      องค์การบริหารส่วนตำบลหัวฝาย  ได้นำผลวิเคราะห์การกำหนดอัตรากำลังพนักงานส่วนตำบล พนักงานจ้าง และลูกจ้างประจำ มาคำนวณภาระค่าใช้จ่ายด้านการบริหารงานบุคคลเพื่อประมาณการค่าใช้จ่ายที่องค์การ</t>
  </si>
  <si>
    <t>บริหารส่วนตำบล   จะต้องจ่ายด้านการบริหารงานบุคคล สำหรับนำไปจัดทำเป็นข้อบัญญัติงบประมาณรายจ่ายประจำปี และเพื่อประโยชน์ในการควบคุมการใช้จ่ายด้านงานบุคคลไม่ให้เกินร้อยละ 40 ของงบประมาณ</t>
  </si>
  <si>
    <t>รายจ่ายประจำปี ตามที่กฎหมายกำหนด ดังนี้</t>
  </si>
  <si>
    <t>ลำดับ</t>
  </si>
  <si>
    <t>ชื่อสายงาน</t>
  </si>
  <si>
    <t>ระดับ</t>
  </si>
  <si>
    <t>จำนวน</t>
  </si>
  <si>
    <t>จำนวนที่มีอยู่ปัจจุบัน (1)</t>
  </si>
  <si>
    <t>อัตราตำแหน่งที่คาดว่า</t>
  </si>
  <si>
    <t>อัตรากำลังคน</t>
  </si>
  <si>
    <t>ค่าใช้จ่ายที่เพิ่มขึ้น (2)</t>
  </si>
  <si>
    <t>ค่าใช้จ่ายรวม (3)</t>
  </si>
  <si>
    <t>หมายเหตุ</t>
  </si>
  <si>
    <t>ตำแหน่ง</t>
  </si>
  <si>
    <t>เงินเดือน</t>
  </si>
  <si>
    <t>รวม</t>
  </si>
  <si>
    <t>ภาระค่าใช้จ่ายที่เพิ่มขึ้นของพนักงานส่วนตำบล (2)</t>
  </si>
  <si>
    <t>ภาระค่าใช้จ่ายของพนักงานจ้างตามภารกิจ (2)</t>
  </si>
  <si>
    <t>ทั้งหมด</t>
  </si>
  <si>
    <t>จะต้องใช้ระยะ 3 ปีข้างหน้า</t>
  </si>
  <si>
    <t>เพิ่ม/ลด</t>
  </si>
  <si>
    <t>ปัจจุบัน</t>
  </si>
  <si>
    <t>(คน)</t>
  </si>
  <si>
    <t>(1)</t>
  </si>
  <si>
    <t>ปี 2559</t>
  </si>
  <si>
    <t>ทั้งปี (1)</t>
  </si>
  <si>
    <t>งด.เดิม</t>
  </si>
  <si>
    <t>เพิ่ม 1ขั้น</t>
  </si>
  <si>
    <t>ส่วนต่าง</t>
  </si>
  <si>
    <t>12 เดือน</t>
  </si>
  <si>
    <t>ค่าตอบแทนเดิม</t>
  </si>
  <si>
    <t>เลื่อน 4%</t>
  </si>
  <si>
    <t>ปัดเศษ</t>
  </si>
  <si>
    <t>ปลัด อบต. (นักบริหารงานท้องถิ่น.)</t>
  </si>
  <si>
    <t>กลาง</t>
  </si>
  <si>
    <t xml:space="preserve"> -</t>
  </si>
  <si>
    <t>ปลัด อบต. (นักบริหารงาน อบต.)</t>
  </si>
  <si>
    <t>รองปลัด อบต. (นักบริหารงานท้องถิ่น)</t>
  </si>
  <si>
    <t>ต้น</t>
  </si>
  <si>
    <t>รองปลัด อบต. (นักบริหารงาน อบต.)</t>
  </si>
  <si>
    <t>สำนักงานปลัด อบต. (01)</t>
  </si>
  <si>
    <t>หัวหน้าสำนักปลัด (นักบริหารงานทั่วไป )</t>
  </si>
  <si>
    <t>นักบริหารงานทั่วไป (หน.สป.)</t>
  </si>
  <si>
    <t>นักวิเคราะห์นโยบายและแผน</t>
  </si>
  <si>
    <t>ชำนาญการ</t>
  </si>
  <si>
    <t>เจ้าหน้าที่วิเคราะห์นโยบายและแผน</t>
  </si>
  <si>
    <t>นักทรัพยากรบุคคล</t>
  </si>
  <si>
    <t>บุคลากร</t>
  </si>
  <si>
    <t>นักพัฒนาชุมชน</t>
  </si>
  <si>
    <t>เจ้าพนักงานป้องกันและบรรเทาสาธารณภัย</t>
  </si>
  <si>
    <t>ชำนาญงาน</t>
  </si>
  <si>
    <t>เจ้าพนักงานธุรการ</t>
  </si>
  <si>
    <t>ปฏิบัติงาน</t>
  </si>
  <si>
    <r>
      <t xml:space="preserve"> </t>
    </r>
    <r>
      <rPr>
        <b/>
        <u/>
        <sz val="13"/>
        <rFont val="TH SarabunIT๙"/>
        <family val="2"/>
      </rPr>
      <t>ลูกจ้างประจำ</t>
    </r>
  </si>
  <si>
    <t>พนักงานจ้างตามภารกิจ</t>
  </si>
  <si>
    <t>พนักงานขับรถยนต์</t>
  </si>
  <si>
    <t>พนักงานขับรถขยะ</t>
  </si>
  <si>
    <t>พนักงานดับเพลิง</t>
  </si>
  <si>
    <t>คนงานประจำรถขยะ</t>
  </si>
  <si>
    <t>คนงานประจำรถขยะ หอย</t>
  </si>
  <si>
    <t>-</t>
  </si>
  <si>
    <t>ว่างงบ60</t>
  </si>
  <si>
    <t>คนงานประจำรถขยะ ว่าง</t>
  </si>
  <si>
    <t>พนักงานจ้างทั่วไป</t>
  </si>
  <si>
    <t>1</t>
  </si>
  <si>
    <t>จำนวนที่มีอยู่ (1)</t>
  </si>
  <si>
    <t>อัตราตำแหน่งที่</t>
  </si>
  <si>
    <t>ภาระค่าใช้จ่ายที่เพิ่มขึ้น (2)</t>
  </si>
  <si>
    <t>คาดว่าจะต้องใช้</t>
  </si>
  <si>
    <r>
      <rPr>
        <sz val="13"/>
        <rFont val="TH SarabunIT๙"/>
        <family val="2"/>
      </rPr>
      <t xml:space="preserve">    </t>
    </r>
    <r>
      <rPr>
        <b/>
        <u/>
        <sz val="13"/>
        <rFont val="TH SarabunIT๙"/>
        <family val="2"/>
      </rPr>
      <t>กองคลัง (02)</t>
    </r>
  </si>
  <si>
    <t>ผู้อำนวยการกองคลัง (นักบริหารงานการคลัง )</t>
  </si>
  <si>
    <t>เจ้าพนักงานการเงินและบัญชี</t>
  </si>
  <si>
    <t>เจ้าพนักงานจัดเก็บรายได้</t>
  </si>
  <si>
    <t>นักวิชาการพัสดุ</t>
  </si>
  <si>
    <t>ปฏิบัติการ</t>
  </si>
  <si>
    <t>เจ้าพนักงานพัสดุ</t>
  </si>
  <si>
    <t>ผู้ช่วยเจ้าพนักงานการเงิน และบัญชี</t>
  </si>
  <si>
    <t>ผู้ช่วยเจ้าหน้าที่การเงิน และบัญชี</t>
  </si>
  <si>
    <r>
      <rPr>
        <sz val="13"/>
        <rFont val="TH SarabunIT๙"/>
        <family val="2"/>
      </rPr>
      <t xml:space="preserve">    </t>
    </r>
    <r>
      <rPr>
        <b/>
        <u/>
        <sz val="13"/>
        <rFont val="TH SarabunIT๙"/>
        <family val="2"/>
      </rPr>
      <t>กองช่าง  (03)</t>
    </r>
  </si>
  <si>
    <t>ผู้อำนวยการกองช่าง (นักบริหารงานช่าง )</t>
  </si>
  <si>
    <t>ผู้อำนวยการกองช่าง (นักบริหารงานช่าง 7)</t>
  </si>
  <si>
    <t>นายช่างโยธา</t>
  </si>
  <si>
    <t>กองการศึกษา ศาสนาและวัฒนธรรม(04)</t>
  </si>
  <si>
    <t>ส่วนการศึกษา ศาสนาและวัฒนธรรม(04)</t>
  </si>
  <si>
    <t>ผ.อ.กองการศึกษาฯ</t>
  </si>
  <si>
    <t>นักบริหารงานการศึกษา</t>
  </si>
  <si>
    <t>นักบริหารงานศึกษา</t>
  </si>
  <si>
    <t>(หัวหน้าส่วนการศึกษาฯ)</t>
  </si>
  <si>
    <t>นักวิชาการศึกษา</t>
  </si>
  <si>
    <r>
      <t xml:space="preserve">1. </t>
    </r>
    <r>
      <rPr>
        <b/>
        <sz val="14"/>
        <color indexed="8"/>
        <rFont val="TH SarabunIT๙"/>
        <family val="2"/>
      </rPr>
      <t>ช่องสีเหลือง</t>
    </r>
    <r>
      <rPr>
        <sz val="14"/>
        <color indexed="8"/>
        <rFont val="TH SarabunIT๙"/>
        <family val="2"/>
      </rPr>
      <t xml:space="preserve">  ไมได้ใส่ตัวเลข  </t>
    </r>
  </si>
  <si>
    <t>ศูนย์พัฒนาเด็กเล็กองค์การบริหาร</t>
  </si>
  <si>
    <r>
      <t xml:space="preserve">2. </t>
    </r>
    <r>
      <rPr>
        <b/>
        <sz val="14"/>
        <color indexed="8"/>
        <rFont val="TH SarabunIT๙"/>
        <family val="2"/>
      </rPr>
      <t>ช่องสีขาว</t>
    </r>
    <r>
      <rPr>
        <sz val="14"/>
        <color indexed="8"/>
        <rFont val="TH SarabunIT๙"/>
        <family val="2"/>
      </rPr>
      <t xml:space="preserve">  ให้ปัดจำนวนเงินให้เต็มสิบ</t>
    </r>
  </si>
  <si>
    <t>ส่วนตำบลหัวฝาย</t>
  </si>
  <si>
    <r>
      <t xml:space="preserve">3. </t>
    </r>
    <r>
      <rPr>
        <b/>
        <sz val="14"/>
        <color indexed="8"/>
        <rFont val="TH SarabunIT๙"/>
        <family val="2"/>
      </rPr>
      <t>พนักงานจ้างตามภารกิจ</t>
    </r>
    <r>
      <rPr>
        <sz val="14"/>
        <color indexed="8"/>
        <rFont val="TH SarabunIT๙"/>
        <family val="2"/>
      </rPr>
      <t xml:space="preserve">  ใช้อัตราค่าตอบแทนพนักงานจ้างใหม่แล้ว (ฉบับที่ 3)</t>
    </r>
  </si>
  <si>
    <t>ครู</t>
  </si>
  <si>
    <t>ค.ศ.1</t>
  </si>
  <si>
    <t>งบอุดหนุน</t>
  </si>
  <si>
    <t>ผู้ช่วยครูผู้ดูแลเด็ก</t>
  </si>
  <si>
    <t>จ.1</t>
  </si>
  <si>
    <t>(๔)</t>
  </si>
  <si>
    <t xml:space="preserve">รวม </t>
  </si>
  <si>
    <r>
      <t xml:space="preserve">3. </t>
    </r>
    <r>
      <rPr>
        <b/>
        <sz val="14"/>
        <color indexed="8"/>
        <rFont val="TH SarabunIT๙"/>
        <family val="2"/>
      </rPr>
      <t>ช่องสีเหลือง</t>
    </r>
    <r>
      <rPr>
        <sz val="14"/>
        <color indexed="8"/>
        <rFont val="TH SarabunIT๙"/>
        <family val="2"/>
      </rPr>
      <t xml:space="preserve"> และ</t>
    </r>
    <r>
      <rPr>
        <b/>
        <sz val="14"/>
        <color indexed="8"/>
        <rFont val="TH SarabunIT๙"/>
        <family val="2"/>
      </rPr>
      <t>ช่องสีเขียว</t>
    </r>
    <r>
      <rPr>
        <sz val="14"/>
        <color indexed="8"/>
        <rFont val="TH SarabunIT๙"/>
        <family val="2"/>
      </rPr>
      <t xml:space="preserve">  จะคำนวนมาให้เองไม่ต้องใส่จำนวนเงิน ...</t>
    </r>
    <r>
      <rPr>
        <b/>
        <sz val="14"/>
        <color indexed="8"/>
        <rFont val="TH SarabunIT๙"/>
        <family val="2"/>
      </rPr>
      <t xml:space="preserve"> ส่วนช่องอื่น ๆ</t>
    </r>
    <r>
      <rPr>
        <sz val="14"/>
        <color indexed="8"/>
        <rFont val="TH SarabunIT๙"/>
        <family val="2"/>
      </rPr>
      <t xml:space="preserve">  ต้องใส่จำนวนเงินเอาเอง</t>
    </r>
  </si>
  <si>
    <t>(๕)</t>
  </si>
  <si>
    <t>ประมาณการประโยชน์ตอบแทนอื่น ๒๐%</t>
  </si>
  <si>
    <r>
      <t xml:space="preserve">4. </t>
    </r>
    <r>
      <rPr>
        <b/>
        <sz val="14"/>
        <color indexed="8"/>
        <rFont val="TH SarabunIT๙"/>
        <family val="2"/>
      </rPr>
      <t>ช่องสีเหลือง</t>
    </r>
    <r>
      <rPr>
        <sz val="14"/>
        <color indexed="8"/>
        <rFont val="TH SarabunIT๙"/>
        <family val="2"/>
      </rPr>
      <t xml:space="preserve">  จะไปใส่จำนวนเงินให้ใน </t>
    </r>
    <r>
      <rPr>
        <b/>
        <sz val="14"/>
        <color indexed="8"/>
        <rFont val="TH SarabunIT๙"/>
        <family val="2"/>
      </rPr>
      <t>ช่อง (1) และ (2)</t>
    </r>
    <r>
      <rPr>
        <sz val="14"/>
        <color indexed="8"/>
        <rFont val="TH SarabunIT๙"/>
        <family val="2"/>
      </rPr>
      <t xml:space="preserve"> ของ</t>
    </r>
    <r>
      <rPr>
        <b/>
        <sz val="14"/>
        <color indexed="8"/>
        <rFont val="TH SarabunIT๙"/>
        <family val="2"/>
      </rPr>
      <t>ข้อ 9. ภาระค่าใช้จ่ายเกี่ยวกับเงินเดือนและประโยชน์อื่น</t>
    </r>
    <r>
      <rPr>
        <sz val="14"/>
        <color indexed="8"/>
        <rFont val="TH SarabunIT๙"/>
        <family val="2"/>
      </rPr>
      <t xml:space="preserve"> </t>
    </r>
  </si>
  <si>
    <t>(6)</t>
  </si>
  <si>
    <t>รวมเป็นค่าใช้จ่ายบุคคลท้องถิ่นทั้งสิ้น</t>
  </si>
  <si>
    <t xml:space="preserve">    *** ไม่ต้องไปใส่จำนวนเงินในช่อง (1) , (2) และ (3) อีก เพราะคำนวนมาให้แล้ว (อยู่ด้านซ้ายมือสุด) ****</t>
  </si>
  <si>
    <t>(7)</t>
  </si>
  <si>
    <t>คิดร้อยละ ๔๐ งบประมาณรายจ่าย</t>
  </si>
  <si>
    <r>
      <t>5.</t>
    </r>
    <r>
      <rPr>
        <b/>
        <sz val="14"/>
        <color indexed="8"/>
        <rFont val="TH SarabunIT๙"/>
        <family val="2"/>
      </rPr>
      <t xml:space="preserve"> เงินเดือนเดิม</t>
    </r>
    <r>
      <rPr>
        <sz val="14"/>
        <color indexed="8"/>
        <rFont val="TH SarabunIT๙"/>
        <family val="2"/>
      </rPr>
      <t xml:space="preserve"> หมายถึง </t>
    </r>
    <r>
      <rPr>
        <b/>
        <sz val="14"/>
        <color indexed="8"/>
        <rFont val="TH SarabunIT๙"/>
        <family val="2"/>
      </rPr>
      <t xml:space="preserve">เงินเดือนปัจจุบันของปีนั้น ๆ </t>
    </r>
    <r>
      <rPr>
        <sz val="14"/>
        <color indexed="8"/>
        <rFont val="TH SarabunIT๙"/>
        <family val="2"/>
      </rPr>
      <t xml:space="preserve">  ส่วน</t>
    </r>
    <r>
      <rPr>
        <b/>
        <sz val="14"/>
        <color indexed="8"/>
        <rFont val="TH SarabunIT๙"/>
        <family val="2"/>
      </rPr>
      <t>เพิ่ม 1 ขั้น</t>
    </r>
    <r>
      <rPr>
        <sz val="14"/>
        <color indexed="8"/>
        <rFont val="TH SarabunIT๙"/>
        <family val="2"/>
      </rPr>
      <t xml:space="preserve"> หมายถึง เงินเดือนที่เพิ่มขึ้นจากเงินเดือนเดิมของปีนั้น ๆ อีก 1.0 ขั้น</t>
    </r>
  </si>
  <si>
    <t>ประจำปี</t>
  </si>
  <si>
    <r>
      <t xml:space="preserve">6. </t>
    </r>
    <r>
      <rPr>
        <b/>
        <sz val="14"/>
        <color indexed="8"/>
        <rFont val="TH SarabunIT๙"/>
        <family val="2"/>
      </rPr>
      <t>พนักงานจ้างทั่วไป</t>
    </r>
    <r>
      <rPr>
        <sz val="14"/>
        <color indexed="8"/>
        <rFont val="TH SarabunIT๙"/>
        <family val="2"/>
      </rPr>
      <t xml:space="preserve">  จะไม่มีการเพิ่มค่าตอบแทน  ไม่ต้องไปคำนวน</t>
    </r>
  </si>
  <si>
    <t>(๑)  คือเงินเดือนที่จ่ายจริงตามระดับตำแหน่งและขั้นเงินเดือนของอัตรากำลังที่มีอยู่ปัจจุบัน</t>
  </si>
  <si>
    <t>ข้อมูลงบประมาณรายจ่ายประจำปีตามข้อบัญญัติ. (ไม่รวมเบี้ยยังชีพ)  และรายได้ไม่รวมเงินอุดหนุน 3 ปี</t>
  </si>
  <si>
    <t xml:space="preserve">(๒)  คิดจากขั้นเงินเดือนของอัตรากำลังเดิมที่เพิ่มขึ้น(ประมาณการขั้นต่ำคนละ ๑ขั้นในแต่ละปี)รวมกับเงินเดือนที่  </t>
  </si>
  <si>
    <t xml:space="preserve">    ปี พ.ศ.2560   งบประมาณรายจ่าย  34,532,600 บาท    รายได้ไม่รวมเงินอุดหนุน   19,900,000 บาท</t>
  </si>
  <si>
    <t>ต้องจ่ายให้กับอัตรากำลังที่กำหนดขึ้นใหม่(เงินเดือนขั้นต่ำของระดับตำแหน่งที่ขอกำหนด + เงินเดือนขั้นสูงของ</t>
  </si>
  <si>
    <t xml:space="preserve">    ปี พ.ศ.2561   งบประมาณรายจ่าย  36,259,230 บาท     รายได้ไม่รวมเงินอุดหนุน   21,939,750 บาท</t>
  </si>
  <si>
    <t>ระดับตำแหน่งที่ขอกำหนด หาร ๒ คูณ ๑๒)</t>
  </si>
  <si>
    <t xml:space="preserve">    ปี พ.ศ.2562   งบประมาณรายจ่าย  38,072,192 บาท     รายได้ไม่รวมเงินอุดหนุน   23,036,737 บาท</t>
  </si>
  <si>
    <t>(๓) คิดจาก (๑) + (๒)</t>
  </si>
  <si>
    <t xml:space="preserve">    ปี พ.ศ.2563   งบประมาณรายจ่าย  41,721,963 บาท     รายได้ไม่รวมเงินอุดหนุน   24,188,574 บาท</t>
  </si>
  <si>
    <t>(๔)  รวมทั้งหมด</t>
  </si>
  <si>
    <t>(งบประมาณรายจ่ายประจำปี  และรายได้ไม่รวมเงินอุดหนุน ให้ประมาณการเพิ่มขึ้นปีละ  5%   )</t>
  </si>
  <si>
    <t>(๕) คือ ประโยชน์ตอบแทนอื่น(ประมาณการไว้ ๒๐% คิดจาก (๓) ในแต่ละปี คูณ ๒๐ หาร ๑๐๐)</t>
  </si>
  <si>
    <t xml:space="preserve">(6)  คิดจาก (๔) + (๕) + (๖) </t>
  </si>
  <si>
    <t>ปี 60</t>
  </si>
  <si>
    <t>เบียคนพิการ</t>
  </si>
  <si>
    <t>ง/ด61</t>
  </si>
  <si>
    <t>เพิ่ม 61</t>
  </si>
  <si>
    <t>ง/ด62</t>
  </si>
  <si>
    <t>เพ่ม 62</t>
  </si>
  <si>
    <t>ง/ด63</t>
  </si>
  <si>
    <t>เพิ่ม 63</t>
  </si>
  <si>
    <t>ปี 61</t>
  </si>
  <si>
    <t>ที่</t>
  </si>
  <si>
    <t>ชาติชาย</t>
  </si>
  <si>
    <t>ชิด</t>
  </si>
  <si>
    <t>เฉลิม</t>
  </si>
  <si>
    <t>เอกพงษ์</t>
  </si>
  <si>
    <t>อภิรักษ์</t>
  </si>
  <si>
    <t>สรวีย์</t>
  </si>
  <si>
    <t>อันธิกา</t>
  </si>
  <si>
    <t>สมพร</t>
  </si>
  <si>
    <t>สมพร   กองศิลป์</t>
  </si>
  <si>
    <t>รัตติยา</t>
  </si>
  <si>
    <t>ภูริชญา</t>
  </si>
  <si>
    <t>(รวมเบี้ย)</t>
  </si>
  <si>
    <t>ผ.อ.กองการศึกษา ศาสนา และวัฒนธรรม</t>
  </si>
  <si>
    <t xml:space="preserve">ข้อมูลงบประมาณรายจ่ายประจำปีตามข้อบัญญัติ และรายได้ไม่รวมเงินอุดหนุน 3 ปี งบประมาณ  </t>
  </si>
  <si>
    <t xml:space="preserve">    ปี พ.ศ.2560   งบประมาณรายจ่าย  55,941,000 บาท    รายได้ไม่รวมเงินอุดหนุน   19,900,000 บาท</t>
  </si>
  <si>
    <t xml:space="preserve">    ปี พ.ศ.2561   งบประมาณรายจ่าย  58,738,050 บาท     รายได้ไม่รวมเงินอุดหนุน   21,939,750 บาท</t>
  </si>
  <si>
    <t xml:space="preserve">    ปี พ.ศ.2562   งบประมาณรายจ่าย  61,674,952 บาท     รายได้ไม่รวมเงินอุดหนุน   23,036,737 บาท</t>
  </si>
  <si>
    <t xml:space="preserve">    ปี พ.ศ.2563   งบประมาณรายจ่าย  64,758,700 บาท     รายได้ไม่รวมเงินอุดหนุน   24,188,574 บาท</t>
  </si>
  <si>
    <t>(งบประมาณรายจ่ายประจำปี และรายได้ไม่รวมเงินอุดหนุน ให้ประมาณการเพิ่มขึ้นปีละ 5%)</t>
  </si>
  <si>
    <t>ชื่อ</t>
  </si>
  <si>
    <t>1 ตค59</t>
  </si>
  <si>
    <t>รวม 1 ปี</t>
  </si>
  <si>
    <t>ง/ดเพิ่มทั้งปี</t>
  </si>
  <si>
    <t>รวมง/ด + 4%</t>
  </si>
  <si>
    <t>คูณ 4%</t>
  </si>
  <si>
    <t>1 เม.ย.60</t>
  </si>
  <si>
    <t>1ขั้น</t>
  </si>
  <si>
    <t xml:space="preserve"> ปี 61</t>
  </si>
  <si>
    <t>1 ขั้น</t>
  </si>
  <si>
    <t>ปี 62</t>
  </si>
  <si>
    <t>ปี 63</t>
  </si>
  <si>
    <t>นายสมสิทธิ์  จำคำมา</t>
  </si>
  <si>
    <t>ปลัดองค์การบริหารส่วนตำบล</t>
  </si>
  <si>
    <t>จ่าสิบเอกมานพ  ชมเชย</t>
  </si>
  <si>
    <t>รองปลัดองค์การบริหารส่วนตำบล</t>
  </si>
  <si>
    <t>นางสุกัญญา  วงศ์วังจันทร์</t>
  </si>
  <si>
    <t>หัวหน้าสำนักปลัด</t>
  </si>
  <si>
    <t>นางวราพร    สุนทรสลิษฏ์กุล</t>
  </si>
  <si>
    <t>นางวริศรา   สีใจวงค์</t>
  </si>
  <si>
    <t>นางสาววีณา  วาระกุล</t>
  </si>
  <si>
    <t>นายชาคร     จันทร์ตา</t>
  </si>
  <si>
    <t>จ่าเอกอุดมพร  อรุณโน</t>
  </si>
  <si>
    <t>เจ้าพนักงานป้องกัน และบรรเทาสาธารณภัย</t>
  </si>
  <si>
    <t>นางอารีรัตน์  เรียงรอง</t>
  </si>
  <si>
    <t>ผู้อำนวยการกองคลัง</t>
  </si>
  <si>
    <t>นางสาวธัญลักษณ์ ธัญเลิศพัฒนธร</t>
  </si>
  <si>
    <t>นางสาวบุษบา   ปินนอ</t>
  </si>
  <si>
    <t>นางเนตรนภา  พากเพียร</t>
  </si>
  <si>
    <t>นางกาญจนา    จำลองกาศ</t>
  </si>
  <si>
    <t>นายวีรยุทธ  สุขเจริญ</t>
  </si>
  <si>
    <t>ผู้อำนวยการกองช่าง</t>
  </si>
  <si>
    <t>นายสุริยัน    สุขสำราญ</t>
  </si>
  <si>
    <t>นายอภิเชษฐ์  เหมืองหม้อ</t>
  </si>
  <si>
    <t>นายสุรศักดิ์ วงศ์ทิพย์</t>
  </si>
  <si>
    <t>นางวราพร    พุ่มพวง</t>
  </si>
  <si>
    <t>ผู้อำนวยการกองศีกษา ศาสนา และวัฒนธรรม</t>
  </si>
  <si>
    <t>นายศุภชัย  ขีดสร้อย</t>
  </si>
  <si>
    <t>นางอมรรัตน์  จบแล้ว</t>
  </si>
  <si>
    <t>คศ 1</t>
  </si>
  <si>
    <t>นางวาสนา  ดวงจันทร์</t>
  </si>
  <si>
    <t>นางศรีรัตน์  ยะหมื่น</t>
  </si>
  <si>
    <t>เนาวรัตน์    มนตรี</t>
  </si>
  <si>
    <t>ลูกจ้างประจำ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</si>
</sst>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_(* #,##0.0_);_(* \(#,##0.0\);_(* &quot;-&quot;?_);_(@_)"/>
    <numFmt numFmtId="191" formatCode="_(* #,##0_);_(* \(#,##0\);_(* &quot;-&quot;?_);_(@_)"/>
  </numFmts>
  <fonts count="31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IT๙"/>
      <family val="2"/>
    </font>
    <font>
      <b/>
      <sz val="14"/>
      <name val="TH SarabunIT๙"/>
      <family val="2"/>
    </font>
    <font>
      <b/>
      <u/>
      <sz val="14"/>
      <name val="TH SarabunIT๙"/>
      <family val="2"/>
    </font>
    <font>
      <sz val="13"/>
      <name val="TH SarabunIT๙"/>
      <family val="2"/>
    </font>
    <font>
      <b/>
      <sz val="13"/>
      <name val="Cordia New"/>
      <family val="2"/>
    </font>
    <font>
      <sz val="12"/>
      <name val="TH SarabunIT๙"/>
      <family val="2"/>
    </font>
    <font>
      <sz val="14"/>
      <color indexed="9"/>
      <name val="TH SarabunIT๙"/>
      <family val="2"/>
    </font>
    <font>
      <b/>
      <u/>
      <sz val="13"/>
      <name val="TH SarabunIT๙"/>
      <family val="2"/>
    </font>
    <font>
      <b/>
      <sz val="13"/>
      <name val="TH SarabunIT๙"/>
      <family val="2"/>
    </font>
    <font>
      <sz val="14"/>
      <name val="Cordia New"/>
      <family val="2"/>
    </font>
    <font>
      <sz val="11"/>
      <name val="TH SarabunIT๙"/>
      <family val="2"/>
    </font>
    <font>
      <sz val="8"/>
      <name val="TH SarabunIT๙"/>
      <family val="2"/>
    </font>
    <font>
      <b/>
      <sz val="12"/>
      <name val="TH SarabunIT๙"/>
      <family val="2"/>
    </font>
    <font>
      <b/>
      <sz val="16"/>
      <name val="TH SarabunIT๙"/>
      <family val="2"/>
    </font>
    <font>
      <sz val="11"/>
      <name val="Cordia New"/>
      <family val="2"/>
    </font>
    <font>
      <b/>
      <sz val="14"/>
      <color indexed="8"/>
      <name val="TH SarabunIT๙"/>
      <family val="2"/>
    </font>
    <font>
      <sz val="14"/>
      <color indexed="8"/>
      <name val="TH SarabunIT๙"/>
      <family val="2"/>
    </font>
    <font>
      <sz val="12"/>
      <name val="Cordia New"/>
      <family val="2"/>
    </font>
    <font>
      <b/>
      <sz val="14"/>
      <name val="Cordia New"/>
      <family val="2"/>
    </font>
    <font>
      <sz val="16"/>
      <name val="TH SarabunIT๙"/>
      <family val="2"/>
    </font>
    <font>
      <sz val="18"/>
      <name val="TH SarabunIT๙"/>
      <family val="2"/>
    </font>
    <font>
      <sz val="13"/>
      <color theme="1"/>
      <name val="TH SarabunIT๙"/>
      <family val="2"/>
    </font>
    <font>
      <b/>
      <sz val="13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3"/>
      <color theme="0"/>
      <name val="TH SarabunIT๙"/>
      <family val="2"/>
    </font>
    <font>
      <sz val="15"/>
      <color rgb="FF000000"/>
      <name val="TH SarabunIT๙"/>
      <family val="2"/>
    </font>
    <font>
      <sz val="12"/>
      <color theme="1"/>
      <name val="TH SarabunIT๙"/>
      <family val="2"/>
    </font>
    <font>
      <sz val="14"/>
      <color rgb="FF00000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8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1" xfId="0" applyFont="1" applyBorder="1"/>
    <xf numFmtId="49" fontId="2" fillId="0" borderId="0" xfId="0" applyNumberFormat="1" applyFont="1" applyAlignment="1">
      <alignment horizontal="left"/>
    </xf>
    <xf numFmtId="49" fontId="4" fillId="0" borderId="0" xfId="0" applyNumberFormat="1" applyFont="1"/>
    <xf numFmtId="49" fontId="2" fillId="0" borderId="0" xfId="0" applyNumberFormat="1" applyFont="1"/>
    <xf numFmtId="49" fontId="7" fillId="0" borderId="0" xfId="0" applyNumberFormat="1" applyFont="1"/>
    <xf numFmtId="0" fontId="5" fillId="0" borderId="1" xfId="0" applyFont="1" applyBorder="1" applyAlignment="1">
      <alignment horizontal="center"/>
    </xf>
    <xf numFmtId="0" fontId="8" fillId="0" borderId="0" xfId="0" applyFont="1"/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/>
    <xf numFmtId="0" fontId="5" fillId="0" borderId="2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49" fontId="6" fillId="0" borderId="1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5" fillId="0" borderId="0" xfId="0" applyFont="1" applyBorder="1"/>
    <xf numFmtId="49" fontId="5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5" fillId="0" borderId="7" xfId="0" applyFont="1" applyBorder="1"/>
    <xf numFmtId="0" fontId="5" fillId="0" borderId="2" xfId="0" applyFont="1" applyBorder="1"/>
    <xf numFmtId="49" fontId="10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15" fillId="0" borderId="0" xfId="0" applyFont="1" applyAlignment="1">
      <alignment horizontal="left"/>
    </xf>
    <xf numFmtId="0" fontId="16" fillId="0" borderId="1" xfId="0" applyFont="1" applyBorder="1"/>
    <xf numFmtId="0" fontId="9" fillId="0" borderId="1" xfId="0" applyFont="1" applyBorder="1"/>
    <xf numFmtId="3" fontId="23" fillId="2" borderId="8" xfId="0" applyNumberFormat="1" applyFont="1" applyFill="1" applyBorder="1" applyAlignment="1">
      <alignment horizontal="center"/>
    </xf>
    <xf numFmtId="3" fontId="23" fillId="0" borderId="8" xfId="0" applyNumberFormat="1" applyFont="1" applyFill="1" applyBorder="1" applyAlignment="1">
      <alignment horizontal="center"/>
    </xf>
    <xf numFmtId="0" fontId="23" fillId="0" borderId="0" xfId="0" applyFont="1"/>
    <xf numFmtId="0" fontId="23" fillId="0" borderId="9" xfId="0" applyFont="1" applyBorder="1"/>
    <xf numFmtId="3" fontId="23" fillId="0" borderId="9" xfId="0" applyNumberFormat="1" applyFont="1" applyBorder="1" applyAlignment="1">
      <alignment horizontal="center"/>
    </xf>
    <xf numFmtId="3" fontId="23" fillId="3" borderId="9" xfId="0" applyNumberFormat="1" applyFont="1" applyFill="1" applyBorder="1" applyAlignment="1">
      <alignment horizontal="center"/>
    </xf>
    <xf numFmtId="3" fontId="23" fillId="4" borderId="9" xfId="0" applyNumberFormat="1" applyFont="1" applyFill="1" applyBorder="1" applyAlignment="1">
      <alignment horizontal="center"/>
    </xf>
    <xf numFmtId="0" fontId="23" fillId="0" borderId="8" xfId="0" applyFont="1" applyBorder="1"/>
    <xf numFmtId="3" fontId="23" fillId="0" borderId="8" xfId="0" applyNumberFormat="1" applyFont="1" applyBorder="1" applyAlignment="1">
      <alignment horizontal="center"/>
    </xf>
    <xf numFmtId="3" fontId="23" fillId="3" borderId="8" xfId="0" applyNumberFormat="1" applyFont="1" applyFill="1" applyBorder="1" applyAlignment="1">
      <alignment horizontal="center"/>
    </xf>
    <xf numFmtId="3" fontId="23" fillId="4" borderId="8" xfId="0" applyNumberFormat="1" applyFont="1" applyFill="1" applyBorder="1" applyAlignment="1">
      <alignment horizontal="center"/>
    </xf>
    <xf numFmtId="0" fontId="24" fillId="0" borderId="8" xfId="0" applyFont="1" applyBorder="1" applyAlignment="1">
      <alignment horizontal="center"/>
    </xf>
    <xf numFmtId="2" fontId="23" fillId="3" borderId="8" xfId="0" applyNumberFormat="1" applyFont="1" applyFill="1" applyBorder="1" applyAlignment="1">
      <alignment horizontal="center"/>
    </xf>
    <xf numFmtId="3" fontId="23" fillId="3" borderId="8" xfId="0" applyNumberFormat="1" applyFont="1" applyFill="1" applyBorder="1"/>
    <xf numFmtId="2" fontId="23" fillId="3" borderId="8" xfId="0" applyNumberFormat="1" applyFont="1" applyFill="1" applyBorder="1"/>
    <xf numFmtId="0" fontId="23" fillId="0" borderId="10" xfId="0" applyFont="1" applyBorder="1"/>
    <xf numFmtId="0" fontId="25" fillId="0" borderId="0" xfId="0" applyFont="1"/>
    <xf numFmtId="0" fontId="26" fillId="0" borderId="0" xfId="0" applyFont="1" applyAlignment="1">
      <alignment horizontal="center"/>
    </xf>
    <xf numFmtId="0" fontId="23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3" fontId="27" fillId="4" borderId="8" xfId="0" applyNumberFormat="1" applyFont="1" applyFill="1" applyBorder="1" applyAlignment="1">
      <alignment horizontal="center"/>
    </xf>
    <xf numFmtId="3" fontId="27" fillId="3" borderId="8" xfId="0" applyNumberFormat="1" applyFont="1" applyFill="1" applyBorder="1" applyAlignment="1">
      <alignment horizontal="center"/>
    </xf>
    <xf numFmtId="3" fontId="27" fillId="0" borderId="8" xfId="0" applyNumberFormat="1" applyFont="1" applyBorder="1" applyAlignment="1">
      <alignment horizontal="center"/>
    </xf>
    <xf numFmtId="0" fontId="23" fillId="0" borderId="1" xfId="0" applyFont="1" applyBorder="1"/>
    <xf numFmtId="0" fontId="24" fillId="0" borderId="1" xfId="0" applyFont="1" applyBorder="1" applyAlignment="1">
      <alignment horizontal="center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14" fillId="0" borderId="1" xfId="0" applyFont="1" applyBorder="1"/>
    <xf numFmtId="0" fontId="2" fillId="0" borderId="1" xfId="0" applyFont="1" applyBorder="1"/>
    <xf numFmtId="0" fontId="12" fillId="0" borderId="1" xfId="0" applyFont="1" applyBorder="1" applyAlignment="1">
      <alignment horizontal="center"/>
    </xf>
    <xf numFmtId="0" fontId="5" fillId="0" borderId="1" xfId="0" applyFont="1" applyFill="1" applyBorder="1"/>
    <xf numFmtId="49" fontId="10" fillId="0" borderId="2" xfId="0" applyNumberFormat="1" applyFont="1" applyBorder="1"/>
    <xf numFmtId="3" fontId="23" fillId="0" borderId="9" xfId="0" applyNumberFormat="1" applyFont="1" applyFill="1" applyBorder="1"/>
    <xf numFmtId="3" fontId="23" fillId="0" borderId="9" xfId="0" applyNumberFormat="1" applyFont="1" applyFill="1" applyBorder="1" applyAlignment="1">
      <alignment horizontal="center"/>
    </xf>
    <xf numFmtId="3" fontId="24" fillId="3" borderId="8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 vertical="center" readingOrder="1"/>
    </xf>
    <xf numFmtId="43" fontId="0" fillId="0" borderId="0" xfId="1" applyFont="1"/>
    <xf numFmtId="43" fontId="0" fillId="0" borderId="0" xfId="0" applyNumberFormat="1"/>
    <xf numFmtId="49" fontId="10" fillId="0" borderId="6" xfId="0" applyNumberFormat="1" applyFont="1" applyBorder="1" applyAlignment="1">
      <alignment horizontal="center"/>
    </xf>
    <xf numFmtId="49" fontId="5" fillId="0" borderId="7" xfId="0" applyNumberFormat="1" applyFont="1" applyBorder="1"/>
    <xf numFmtId="49" fontId="7" fillId="0" borderId="1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0" xfId="0" applyFont="1"/>
    <xf numFmtId="0" fontId="29" fillId="0" borderId="7" xfId="0" applyFont="1" applyBorder="1" applyAlignment="1">
      <alignment horizontal="center"/>
    </xf>
    <xf numFmtId="0" fontId="29" fillId="0" borderId="0" xfId="0" applyFont="1"/>
    <xf numFmtId="49" fontId="7" fillId="0" borderId="13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9" fillId="0" borderId="13" xfId="0" applyFont="1" applyBorder="1"/>
    <xf numFmtId="0" fontId="29" fillId="0" borderId="1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9" fillId="0" borderId="2" xfId="0" applyFont="1" applyBorder="1"/>
    <xf numFmtId="0" fontId="29" fillId="0" borderId="12" xfId="0" applyFont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9" fontId="29" fillId="0" borderId="1" xfId="0" applyNumberFormat="1" applyFont="1" applyBorder="1" applyAlignment="1">
      <alignment horizontal="center"/>
    </xf>
    <xf numFmtId="3" fontId="23" fillId="0" borderId="0" xfId="0" applyNumberFormat="1" applyFont="1" applyBorder="1" applyAlignment="1">
      <alignment horizontal="center"/>
    </xf>
    <xf numFmtId="3" fontId="23" fillId="3" borderId="0" xfId="0" applyNumberFormat="1" applyFont="1" applyFill="1" applyBorder="1" applyAlignment="1">
      <alignment horizontal="center"/>
    </xf>
    <xf numFmtId="3" fontId="23" fillId="4" borderId="0" xfId="0" applyNumberFormat="1" applyFont="1" applyFill="1" applyBorder="1" applyAlignment="1">
      <alignment horizontal="center"/>
    </xf>
    <xf numFmtId="3" fontId="23" fillId="0" borderId="16" xfId="0" applyNumberFormat="1" applyFont="1" applyBorder="1" applyAlignment="1">
      <alignment horizontal="center"/>
    </xf>
    <xf numFmtId="3" fontId="23" fillId="3" borderId="16" xfId="0" applyNumberFormat="1" applyFont="1" applyFill="1" applyBorder="1" applyAlignment="1">
      <alignment horizontal="center"/>
    </xf>
    <xf numFmtId="3" fontId="23" fillId="0" borderId="7" xfId="0" applyNumberFormat="1" applyFont="1" applyBorder="1" applyAlignment="1">
      <alignment horizontal="center"/>
    </xf>
    <xf numFmtId="3" fontId="23" fillId="4" borderId="16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3" fontId="23" fillId="0" borderId="1" xfId="0" applyNumberFormat="1" applyFont="1" applyFill="1" applyBorder="1" applyAlignment="1">
      <alignment horizontal="center"/>
    </xf>
    <xf numFmtId="0" fontId="2" fillId="0" borderId="0" xfId="0" applyFont="1" applyBorder="1"/>
    <xf numFmtId="0" fontId="11" fillId="0" borderId="0" xfId="0" applyFont="1"/>
    <xf numFmtId="3" fontId="0" fillId="0" borderId="0" xfId="0" applyNumberFormat="1"/>
    <xf numFmtId="3" fontId="11" fillId="0" borderId="0" xfId="0" applyNumberFormat="1" applyFont="1"/>
    <xf numFmtId="4" fontId="3" fillId="0" borderId="1" xfId="0" applyNumberFormat="1" applyFont="1" applyBorder="1" applyAlignment="1">
      <alignment horizontal="right"/>
    </xf>
    <xf numFmtId="0" fontId="5" fillId="0" borderId="13" xfId="0" applyFont="1" applyBorder="1"/>
    <xf numFmtId="0" fontId="10" fillId="0" borderId="0" xfId="0" applyFont="1" applyBorder="1"/>
    <xf numFmtId="0" fontId="14" fillId="0" borderId="0" xfId="0" applyFont="1" applyBorder="1"/>
    <xf numFmtId="0" fontId="5" fillId="0" borderId="0" xfId="0" applyFont="1" applyFill="1" applyBorder="1"/>
    <xf numFmtId="0" fontId="12" fillId="0" borderId="1" xfId="0" applyFont="1" applyBorder="1"/>
    <xf numFmtId="188" fontId="0" fillId="0" borderId="0" xfId="1" applyNumberFormat="1" applyFont="1"/>
    <xf numFmtId="190" fontId="0" fillId="0" borderId="0" xfId="0" applyNumberFormat="1"/>
    <xf numFmtId="0" fontId="21" fillId="0" borderId="0" xfId="0" applyFont="1" applyAlignment="1">
      <alignment horizontal="center"/>
    </xf>
    <xf numFmtId="0" fontId="20" fillId="0" borderId="1" xfId="0" applyFont="1" applyBorder="1"/>
    <xf numFmtId="49" fontId="7" fillId="0" borderId="1" xfId="0" applyNumberFormat="1" applyFont="1" applyBorder="1"/>
    <xf numFmtId="0" fontId="11" fillId="0" borderId="1" xfId="0" applyFont="1" applyBorder="1"/>
    <xf numFmtId="49" fontId="7" fillId="0" borderId="2" xfId="0" applyNumberFormat="1" applyFont="1" applyBorder="1" applyAlignment="1">
      <alignment horizontal="center"/>
    </xf>
    <xf numFmtId="189" fontId="0" fillId="0" borderId="0" xfId="0" applyNumberFormat="1"/>
    <xf numFmtId="0" fontId="0" fillId="0" borderId="17" xfId="0" applyBorder="1" applyAlignment="1">
      <alignment horizontal="center"/>
    </xf>
    <xf numFmtId="189" fontId="0" fillId="0" borderId="18" xfId="0" applyNumberFormat="1" applyBorder="1"/>
    <xf numFmtId="189" fontId="0" fillId="0" borderId="18" xfId="1" applyNumberFormat="1" applyFont="1" applyBorder="1"/>
    <xf numFmtId="0" fontId="0" fillId="0" borderId="18" xfId="0" applyBorder="1"/>
    <xf numFmtId="9" fontId="0" fillId="0" borderId="19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189" fontId="0" fillId="0" borderId="17" xfId="0" applyNumberFormat="1" applyBorder="1"/>
    <xf numFmtId="189" fontId="0" fillId="0" borderId="0" xfId="1" applyNumberFormat="1" applyFont="1" applyBorder="1"/>
    <xf numFmtId="189" fontId="0" fillId="0" borderId="24" xfId="1" applyNumberFormat="1" applyFont="1" applyBorder="1"/>
    <xf numFmtId="189" fontId="0" fillId="0" borderId="25" xfId="0" applyNumberFormat="1" applyBorder="1"/>
    <xf numFmtId="0" fontId="0" fillId="0" borderId="26" xfId="0" applyFill="1" applyBorder="1"/>
    <xf numFmtId="0" fontId="0" fillId="0" borderId="27" xfId="0" applyBorder="1"/>
    <xf numFmtId="0" fontId="0" fillId="0" borderId="28" xfId="0" applyBorder="1"/>
    <xf numFmtId="189" fontId="0" fillId="0" borderId="29" xfId="1" applyNumberFormat="1" applyFont="1" applyBorder="1"/>
    <xf numFmtId="0" fontId="0" fillId="0" borderId="18" xfId="0" applyBorder="1" applyAlignment="1">
      <alignment horizontal="center"/>
    </xf>
    <xf numFmtId="0" fontId="0" fillId="0" borderId="30" xfId="0" applyBorder="1" applyAlignment="1">
      <alignment horizontal="center"/>
    </xf>
    <xf numFmtId="0" fontId="11" fillId="0" borderId="1" xfId="0" applyFont="1" applyBorder="1" applyAlignment="1">
      <alignment horizontal="center"/>
    </xf>
    <xf numFmtId="189" fontId="0" fillId="0" borderId="27" xfId="0" applyNumberFormat="1" applyBorder="1"/>
    <xf numFmtId="188" fontId="0" fillId="0" borderId="26" xfId="1" applyNumberFormat="1" applyFont="1" applyFill="1" applyBorder="1"/>
    <xf numFmtId="189" fontId="0" fillId="0" borderId="31" xfId="1" applyNumberFormat="1" applyFont="1" applyBorder="1"/>
    <xf numFmtId="0" fontId="0" fillId="0" borderId="32" xfId="0" applyBorder="1" applyAlignment="1">
      <alignment horizontal="center"/>
    </xf>
    <xf numFmtId="0" fontId="0" fillId="0" borderId="14" xfId="0" applyBorder="1"/>
    <xf numFmtId="189" fontId="0" fillId="0" borderId="7" xfId="0" applyNumberFormat="1" applyBorder="1"/>
    <xf numFmtId="189" fontId="0" fillId="0" borderId="13" xfId="0" applyNumberFormat="1" applyBorder="1"/>
    <xf numFmtId="3" fontId="7" fillId="0" borderId="1" xfId="0" applyNumberFormat="1" applyFont="1" applyBorder="1" applyAlignment="1">
      <alignment horizontal="right"/>
    </xf>
    <xf numFmtId="189" fontId="19" fillId="0" borderId="0" xfId="0" applyNumberFormat="1" applyFont="1"/>
    <xf numFmtId="0" fontId="11" fillId="0" borderId="6" xfId="0" applyFont="1" applyBorder="1"/>
    <xf numFmtId="0" fontId="11" fillId="0" borderId="33" xfId="0" applyFont="1" applyBorder="1"/>
    <xf numFmtId="0" fontId="2" fillId="0" borderId="1" xfId="0" applyFont="1" applyBorder="1" applyAlignment="1">
      <alignment shrinkToFi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89" fontId="2" fillId="0" borderId="1" xfId="1" applyNumberFormat="1" applyFont="1" applyBorder="1" applyAlignment="1">
      <alignment horizontal="center"/>
    </xf>
    <xf numFmtId="189" fontId="2" fillId="0" borderId="1" xfId="0" applyNumberFormat="1" applyFont="1" applyBorder="1" applyAlignment="1">
      <alignment horizontal="center"/>
    </xf>
    <xf numFmtId="189" fontId="25" fillId="0" borderId="1" xfId="0" applyNumberFormat="1" applyFont="1" applyBorder="1"/>
    <xf numFmtId="0" fontId="2" fillId="0" borderId="1" xfId="1" applyNumberFormat="1" applyFont="1" applyBorder="1" applyAlignment="1">
      <alignment horizontal="center"/>
    </xf>
    <xf numFmtId="189" fontId="2" fillId="0" borderId="0" xfId="1" applyNumberFormat="1" applyFont="1" applyBorder="1" applyAlignment="1">
      <alignment horizontal="center"/>
    </xf>
    <xf numFmtId="189" fontId="25" fillId="0" borderId="0" xfId="1" applyNumberFormat="1" applyFont="1" applyBorder="1"/>
    <xf numFmtId="0" fontId="11" fillId="0" borderId="0" xfId="0" applyFont="1" applyBorder="1"/>
    <xf numFmtId="0" fontId="2" fillId="0" borderId="1" xfId="0" applyFont="1" applyBorder="1" applyAlignment="1">
      <alignment horizontal="left" shrinkToFit="1"/>
    </xf>
    <xf numFmtId="2" fontId="2" fillId="0" borderId="1" xfId="1" applyNumberFormat="1" applyFont="1" applyBorder="1" applyAlignment="1">
      <alignment horizontal="center"/>
    </xf>
    <xf numFmtId="0" fontId="25" fillId="0" borderId="1" xfId="0" applyFont="1" applyBorder="1"/>
    <xf numFmtId="0" fontId="25" fillId="0" borderId="0" xfId="0" applyFont="1" applyBorder="1"/>
    <xf numFmtId="3" fontId="25" fillId="0" borderId="9" xfId="0" applyNumberFormat="1" applyFont="1" applyFill="1" applyBorder="1"/>
    <xf numFmtId="0" fontId="11" fillId="0" borderId="0" xfId="0" applyFont="1" applyAlignment="1">
      <alignment horizontal="center"/>
    </xf>
    <xf numFmtId="0" fontId="22" fillId="0" borderId="1" xfId="0" applyFont="1" applyBorder="1" applyAlignment="1">
      <alignment horizontal="left" shrinkToFit="1"/>
    </xf>
    <xf numFmtId="0" fontId="7" fillId="0" borderId="2" xfId="0" applyFont="1" applyBorder="1"/>
    <xf numFmtId="0" fontId="10" fillId="0" borderId="2" xfId="0" applyFont="1" applyBorder="1"/>
    <xf numFmtId="0" fontId="9" fillId="0" borderId="13" xfId="0" applyFont="1" applyBorder="1" applyAlignment="1">
      <alignment horizontal="left" vertical="center"/>
    </xf>
    <xf numFmtId="187" fontId="0" fillId="0" borderId="0" xfId="0" applyNumberFormat="1"/>
    <xf numFmtId="0" fontId="19" fillId="0" borderId="1" xfId="0" applyFont="1" applyBorder="1"/>
    <xf numFmtId="188" fontId="0" fillId="0" borderId="0" xfId="0" applyNumberFormat="1"/>
    <xf numFmtId="189" fontId="0" fillId="0" borderId="0" xfId="1" applyNumberFormat="1" applyFont="1"/>
    <xf numFmtId="189" fontId="11" fillId="0" borderId="0" xfId="1" applyNumberFormat="1" applyFont="1"/>
    <xf numFmtId="3" fontId="5" fillId="0" borderId="0" xfId="0" applyNumberFormat="1" applyFont="1" applyBorder="1" applyAlignment="1">
      <alignment horizontal="right"/>
    </xf>
    <xf numFmtId="0" fontId="0" fillId="0" borderId="0" xfId="0" applyBorder="1"/>
    <xf numFmtId="191" fontId="0" fillId="0" borderId="0" xfId="0" applyNumberFormat="1"/>
    <xf numFmtId="3" fontId="23" fillId="0" borderId="7" xfId="0" applyNumberFormat="1" applyFont="1" applyFill="1" applyBorder="1" applyAlignment="1">
      <alignment horizontal="center"/>
    </xf>
    <xf numFmtId="189" fontId="2" fillId="0" borderId="1" xfId="1" applyNumberFormat="1" applyFont="1" applyBorder="1"/>
    <xf numFmtId="0" fontId="8" fillId="0" borderId="0" xfId="0" applyFont="1" applyBorder="1"/>
    <xf numFmtId="0" fontId="2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3" fontId="23" fillId="0" borderId="0" xfId="0" applyNumberFormat="1" applyFont="1" applyFill="1" applyBorder="1"/>
    <xf numFmtId="0" fontId="26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/>
    </xf>
    <xf numFmtId="3" fontId="23" fillId="0" borderId="1" xfId="0" applyNumberFormat="1" applyFont="1" applyFill="1" applyBorder="1"/>
    <xf numFmtId="0" fontId="1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9" fillId="0" borderId="34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0" fontId="30" fillId="0" borderId="15" xfId="0" applyFont="1" applyBorder="1" applyAlignment="1">
      <alignment horizontal="center" vertical="center" readingOrder="2"/>
    </xf>
    <xf numFmtId="0" fontId="30" fillId="0" borderId="14" xfId="0" applyFont="1" applyBorder="1" applyAlignment="1">
      <alignment horizontal="center" vertical="center" readingOrder="2"/>
    </xf>
    <xf numFmtId="0" fontId="30" fillId="0" borderId="3" xfId="0" applyFont="1" applyBorder="1" applyAlignment="1">
      <alignment horizontal="center" vertical="center" readingOrder="2"/>
    </xf>
    <xf numFmtId="0" fontId="9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7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/>
    </xf>
    <xf numFmtId="0" fontId="29" fillId="0" borderId="33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" fillId="0" borderId="14" xfId="0" applyFont="1" applyBorder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351318</xdr:colOff>
      <xdr:row>80</xdr:row>
      <xdr:rowOff>74428</xdr:rowOff>
    </xdr:from>
    <xdr:to>
      <xdr:col>15</xdr:col>
      <xdr:colOff>20600</xdr:colOff>
      <xdr:row>85</xdr:row>
      <xdr:rowOff>88604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2424FBE-9FC1-472A-BC4D-82FAAC33345A}"/>
            </a:ext>
          </a:extLst>
        </xdr:cNvPr>
        <xdr:cNvSpPr txBox="1">
          <a:spLocks noChangeArrowheads="1"/>
        </xdr:cNvSpPr>
      </xdr:nvSpPr>
      <xdr:spPr bwMode="auto">
        <a:xfrm>
          <a:off x="6564719" y="24507161"/>
          <a:ext cx="1662887" cy="14429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TH SarabunIT๙"/>
            <a:cs typeface="TH SarabunIT๙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IT๙"/>
              <a:cs typeface="TH SarabunIT๙"/>
            </a:rPr>
            <a:t>ตรวจสอบแล้วถูกต้อง</a:t>
          </a:r>
        </a:p>
        <a:p>
          <a:pPr algn="ctr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TH SarabunIT๙"/>
            <a:cs typeface="TH SarabunIT๙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IT๙"/>
              <a:cs typeface="TH SarabunIT๙"/>
            </a:rPr>
            <a:t>(นายสมสิทธิ์   จาคำมา)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IT๙"/>
              <a:cs typeface="TH SarabunIT๙"/>
            </a:rPr>
            <a:t>ปลัดองค์การบริหารส่วนตำบล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IT๙"/>
              <a:cs typeface="TH SarabunIT๙"/>
            </a:rPr>
            <a:t>10 สิงหาคม 2560</a:t>
          </a:r>
          <a:r>
            <a:rPr lang="th-TH" sz="1000" b="0" i="0" u="none" strike="noStrike">
              <a:effectLst/>
              <a:latin typeface="+mn-lt"/>
              <a:ea typeface="+mn-ea"/>
              <a:cs typeface="+mn-cs"/>
            </a:rPr>
            <a:t>  </a:t>
          </a:r>
          <a:endParaRPr lang="th-TH" sz="1400" b="0" i="0" u="none" strike="noStrike" baseline="0">
            <a:solidFill>
              <a:srgbClr val="000000"/>
            </a:solidFill>
            <a:latin typeface="TH SarabunIT๙"/>
            <a:cs typeface="TH SarabunIT๙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240563</xdr:colOff>
      <xdr:row>80</xdr:row>
      <xdr:rowOff>196260</xdr:rowOff>
    </xdr:from>
    <xdr:to>
      <xdr:col>14</xdr:col>
      <xdr:colOff>485775</xdr:colOff>
      <xdr:row>85</xdr:row>
      <xdr:rowOff>166134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DCC8EA2-C07E-419B-B892-D35BA1BE3FBD}"/>
            </a:ext>
          </a:extLst>
        </xdr:cNvPr>
        <xdr:cNvSpPr txBox="1">
          <a:spLocks noChangeArrowheads="1"/>
        </xdr:cNvSpPr>
      </xdr:nvSpPr>
      <xdr:spPr bwMode="auto">
        <a:xfrm>
          <a:off x="6642249" y="24252423"/>
          <a:ext cx="1873323" cy="14429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TH SarabunIT๙"/>
            <a:cs typeface="TH SarabunIT๙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IT๙"/>
              <a:cs typeface="TH SarabunIT๙"/>
            </a:rPr>
            <a:t>ตรวจสอบแล้วถูกต้อง</a:t>
          </a:r>
        </a:p>
        <a:p>
          <a:pPr algn="ctr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TH SarabunIT๙"/>
            <a:cs typeface="TH SarabunIT๙"/>
          </a:endParaRP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IT๙"/>
              <a:cs typeface="TH SarabunIT๙"/>
            </a:rPr>
            <a:t>(นายสมสิทธิ์   จาคำมา)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IT๙"/>
              <a:cs typeface="TH SarabunIT๙"/>
            </a:rPr>
            <a:t>ปลัดองค์การบริหารส่วนตำบล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IT๙"/>
              <a:cs typeface="TH SarabunIT๙"/>
            </a:rPr>
            <a:t>10 สิงหาคม 2560</a:t>
          </a:r>
          <a:r>
            <a:rPr lang="th-TH" sz="1000" b="0" i="0" u="none" strike="noStrike">
              <a:effectLst/>
              <a:latin typeface="+mn-lt"/>
              <a:ea typeface="+mn-ea"/>
              <a:cs typeface="+mn-cs"/>
            </a:rPr>
            <a:t>  </a:t>
          </a:r>
          <a:endParaRPr lang="th-TH" sz="1400" b="0" i="0" u="none" strike="noStrike" baseline="0">
            <a:solidFill>
              <a:srgbClr val="000000"/>
            </a:solidFill>
            <a:latin typeface="TH SarabunIT๙"/>
            <a:cs typeface="TH SarabunIT๙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8"/>
  <sheetViews>
    <sheetView topLeftCell="C1" zoomScale="86" zoomScaleNormal="86" workbookViewId="0">
      <selection activeCell="R60" sqref="R60"/>
    </sheetView>
  </sheetViews>
  <sheetFormatPr defaultRowHeight="21.75" x14ac:dyDescent="0.5"/>
  <cols>
    <col min="1" max="1" width="6.42578125" customWidth="1"/>
    <col min="2" max="2" width="26.5703125" customWidth="1"/>
    <col min="3" max="3" width="9.28515625" customWidth="1"/>
    <col min="4" max="4" width="5.85546875" customWidth="1"/>
    <col min="5" max="5" width="6" customWidth="1"/>
    <col min="6" max="6" width="10" customWidth="1"/>
    <col min="7" max="7" width="5.5703125" customWidth="1"/>
    <col min="8" max="8" width="6.28515625" customWidth="1"/>
    <col min="9" max="10" width="6.140625" customWidth="1"/>
    <col min="11" max="11" width="5.7109375" customWidth="1"/>
    <col min="12" max="12" width="5.42578125" customWidth="1"/>
    <col min="13" max="13" width="8" customWidth="1"/>
    <col min="14" max="14" width="8.28515625" customWidth="1"/>
    <col min="15" max="15" width="7.85546875" customWidth="1"/>
    <col min="16" max="16" width="11" customWidth="1"/>
    <col min="17" max="17" width="9.7109375" customWidth="1"/>
    <col min="18" max="18" width="9.5703125" customWidth="1"/>
    <col min="19" max="19" width="7.140625" customWidth="1"/>
    <col min="21" max="21" width="13.140625" customWidth="1"/>
    <col min="22" max="22" width="13.28515625" customWidth="1"/>
    <col min="23" max="23" width="16.42578125" customWidth="1"/>
    <col min="39" max="39" width="12.140625" bestFit="1" customWidth="1"/>
    <col min="42" max="42" width="10.140625" customWidth="1"/>
    <col min="45" max="45" width="9.42578125" customWidth="1"/>
    <col min="48" max="48" width="9" customWidth="1"/>
  </cols>
  <sheetData>
    <row r="1" spans="1:47" ht="24.75" customHeight="1" x14ac:dyDescent="0.5">
      <c r="A1" s="34" t="s">
        <v>0</v>
      </c>
      <c r="B1" s="4"/>
      <c r="C1" s="5"/>
      <c r="D1" s="196"/>
      <c r="E1" s="19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94" t="s">
        <v>1</v>
      </c>
      <c r="R1" s="117"/>
    </row>
    <row r="2" spans="1:47" ht="24.75" customHeight="1" x14ac:dyDescent="0.5">
      <c r="A2" s="6" t="s">
        <v>2</v>
      </c>
      <c r="B2" s="4"/>
      <c r="C2" s="5"/>
      <c r="D2" s="196"/>
      <c r="E2" s="19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47" ht="24.75" customHeight="1" x14ac:dyDescent="0.5">
      <c r="A3" s="6" t="s">
        <v>3</v>
      </c>
      <c r="B3" s="4"/>
      <c r="C3" s="5"/>
      <c r="D3" s="196"/>
      <c r="E3" s="19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47" ht="24.75" customHeight="1" x14ac:dyDescent="0.5">
      <c r="A4" s="237" t="s">
        <v>4</v>
      </c>
      <c r="B4" s="237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</row>
    <row r="5" spans="1:47" s="80" customFormat="1" ht="21" customHeight="1" x14ac:dyDescent="0.45">
      <c r="A5" s="218" t="s">
        <v>5</v>
      </c>
      <c r="B5" s="221" t="s">
        <v>6</v>
      </c>
      <c r="C5" s="78" t="s">
        <v>7</v>
      </c>
      <c r="D5" s="199" t="s">
        <v>8</v>
      </c>
      <c r="E5" s="224" t="s">
        <v>9</v>
      </c>
      <c r="F5" s="224"/>
      <c r="G5" s="225" t="s">
        <v>10</v>
      </c>
      <c r="H5" s="225"/>
      <c r="I5" s="225"/>
      <c r="J5" s="226" t="s">
        <v>11</v>
      </c>
      <c r="K5" s="225"/>
      <c r="L5" s="225"/>
      <c r="M5" s="226" t="s">
        <v>12</v>
      </c>
      <c r="N5" s="225"/>
      <c r="O5" s="227"/>
      <c r="P5" s="225" t="s">
        <v>13</v>
      </c>
      <c r="Q5" s="225"/>
      <c r="R5" s="227"/>
      <c r="S5" s="79" t="s">
        <v>14</v>
      </c>
      <c r="W5" s="231" t="s">
        <v>15</v>
      </c>
      <c r="X5" s="81" t="s">
        <v>16</v>
      </c>
      <c r="Y5" s="81" t="s">
        <v>17</v>
      </c>
      <c r="Z5" s="234" t="s">
        <v>18</v>
      </c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6"/>
      <c r="AL5" s="82"/>
      <c r="AM5" s="230" t="s">
        <v>19</v>
      </c>
      <c r="AN5" s="230"/>
      <c r="AO5" s="230"/>
      <c r="AP5" s="230"/>
      <c r="AQ5" s="230"/>
      <c r="AR5" s="230"/>
      <c r="AS5" s="230"/>
      <c r="AT5" s="230"/>
      <c r="AU5" s="230"/>
    </row>
    <row r="6" spans="1:47" s="80" customFormat="1" ht="21" customHeight="1" x14ac:dyDescent="0.45">
      <c r="A6" s="219"/>
      <c r="B6" s="222"/>
      <c r="C6" s="83" t="s">
        <v>15</v>
      </c>
      <c r="D6" s="84" t="s">
        <v>20</v>
      </c>
      <c r="E6" s="198" t="s">
        <v>8</v>
      </c>
      <c r="F6" s="200" t="s">
        <v>16</v>
      </c>
      <c r="G6" s="228" t="s">
        <v>21</v>
      </c>
      <c r="H6" s="228"/>
      <c r="I6" s="228"/>
      <c r="J6" s="229" t="s">
        <v>22</v>
      </c>
      <c r="K6" s="228"/>
      <c r="L6" s="228"/>
      <c r="M6" s="202"/>
      <c r="N6" s="201"/>
      <c r="O6" s="85"/>
      <c r="P6" s="201"/>
      <c r="Q6" s="201"/>
      <c r="R6" s="85"/>
      <c r="S6" s="86"/>
      <c r="W6" s="232"/>
      <c r="X6" s="87" t="s">
        <v>23</v>
      </c>
      <c r="Y6" s="87" t="s">
        <v>16</v>
      </c>
      <c r="Z6" s="236">
        <v>2560</v>
      </c>
      <c r="AA6" s="230"/>
      <c r="AB6" s="230"/>
      <c r="AC6" s="230"/>
      <c r="AD6" s="230">
        <v>2561</v>
      </c>
      <c r="AE6" s="230"/>
      <c r="AF6" s="230"/>
      <c r="AG6" s="230"/>
      <c r="AH6" s="230">
        <v>2563</v>
      </c>
      <c r="AI6" s="230"/>
      <c r="AJ6" s="230"/>
      <c r="AK6" s="230"/>
      <c r="AL6" s="82"/>
      <c r="AM6" s="230">
        <v>2558</v>
      </c>
      <c r="AN6" s="230"/>
      <c r="AO6" s="230"/>
      <c r="AP6" s="230">
        <v>2559</v>
      </c>
      <c r="AQ6" s="230"/>
      <c r="AR6" s="230"/>
      <c r="AS6" s="230">
        <v>2560</v>
      </c>
      <c r="AT6" s="230"/>
      <c r="AU6" s="230"/>
    </row>
    <row r="7" spans="1:47" s="80" customFormat="1" ht="21" customHeight="1" x14ac:dyDescent="0.45">
      <c r="A7" s="219"/>
      <c r="B7" s="222"/>
      <c r="C7" s="83"/>
      <c r="D7" s="84"/>
      <c r="E7" s="88" t="s">
        <v>24</v>
      </c>
      <c r="F7" s="89" t="s">
        <v>25</v>
      </c>
      <c r="G7" s="90">
        <v>2561</v>
      </c>
      <c r="H7" s="91">
        <v>2562</v>
      </c>
      <c r="I7" s="91">
        <v>2563</v>
      </c>
      <c r="J7" s="90">
        <v>2561</v>
      </c>
      <c r="K7" s="91">
        <v>2562</v>
      </c>
      <c r="L7" s="91">
        <v>2563</v>
      </c>
      <c r="M7" s="90">
        <v>2561</v>
      </c>
      <c r="N7" s="91">
        <v>2562</v>
      </c>
      <c r="O7" s="91">
        <v>2563</v>
      </c>
      <c r="P7" s="90">
        <v>2561</v>
      </c>
      <c r="Q7" s="91">
        <v>2562</v>
      </c>
      <c r="R7" s="91">
        <v>2563</v>
      </c>
      <c r="S7" s="92"/>
      <c r="W7" s="233"/>
      <c r="X7" s="87" t="s">
        <v>26</v>
      </c>
      <c r="Y7" s="87" t="s">
        <v>27</v>
      </c>
      <c r="Z7" s="93" t="s">
        <v>28</v>
      </c>
      <c r="AA7" s="81" t="s">
        <v>29</v>
      </c>
      <c r="AB7" s="81" t="s">
        <v>30</v>
      </c>
      <c r="AC7" s="81" t="s">
        <v>31</v>
      </c>
      <c r="AD7" s="93" t="s">
        <v>28</v>
      </c>
      <c r="AE7" s="81" t="s">
        <v>29</v>
      </c>
      <c r="AF7" s="81" t="s">
        <v>30</v>
      </c>
      <c r="AG7" s="81" t="s">
        <v>31</v>
      </c>
      <c r="AH7" s="93" t="s">
        <v>28</v>
      </c>
      <c r="AI7" s="81" t="s">
        <v>29</v>
      </c>
      <c r="AJ7" s="81" t="s">
        <v>30</v>
      </c>
      <c r="AK7" s="81" t="s">
        <v>31</v>
      </c>
      <c r="AL7" s="82"/>
      <c r="AM7" s="94" t="s">
        <v>32</v>
      </c>
      <c r="AN7" s="95" t="s">
        <v>33</v>
      </c>
      <c r="AO7" s="94" t="s">
        <v>34</v>
      </c>
      <c r="AP7" s="94" t="s">
        <v>32</v>
      </c>
      <c r="AQ7" s="95" t="s">
        <v>33</v>
      </c>
      <c r="AR7" s="94" t="s">
        <v>34</v>
      </c>
      <c r="AS7" s="94" t="s">
        <v>32</v>
      </c>
      <c r="AT7" s="95" t="s">
        <v>33</v>
      </c>
      <c r="AU7" s="94" t="s">
        <v>34</v>
      </c>
    </row>
    <row r="8" spans="1:47" ht="21" customHeight="1" x14ac:dyDescent="0.5">
      <c r="A8" s="12">
        <v>1</v>
      </c>
      <c r="B8" s="60" t="s">
        <v>35</v>
      </c>
      <c r="C8" s="20" t="s">
        <v>36</v>
      </c>
      <c r="D8" s="12">
        <v>1</v>
      </c>
      <c r="E8" s="12">
        <v>1</v>
      </c>
      <c r="F8" s="15">
        <f>SUM(33140*12)+7000*2*12</f>
        <v>565680</v>
      </c>
      <c r="G8" s="55">
        <v>1</v>
      </c>
      <c r="H8" s="55">
        <v>1</v>
      </c>
      <c r="I8" s="55">
        <v>1</v>
      </c>
      <c r="J8" s="70" t="s">
        <v>37</v>
      </c>
      <c r="K8" s="70" t="s">
        <v>37</v>
      </c>
      <c r="L8" s="70" t="s">
        <v>37</v>
      </c>
      <c r="M8" s="70">
        <f>SUM(1290*12)</f>
        <v>15480</v>
      </c>
      <c r="N8" s="69">
        <f>SUM(1330*12)</f>
        <v>15960</v>
      </c>
      <c r="O8" s="69">
        <f>SUM(1370*12)</f>
        <v>16440</v>
      </c>
      <c r="P8" s="70">
        <f>SUM(F8+M8)</f>
        <v>581160</v>
      </c>
      <c r="Q8" s="15">
        <f>SUM(F8+N8)</f>
        <v>581640</v>
      </c>
      <c r="R8" s="15">
        <f>SUM(F8+7)</f>
        <v>565687</v>
      </c>
      <c r="S8" s="60"/>
      <c r="W8" s="40" t="s">
        <v>38</v>
      </c>
      <c r="X8" s="41">
        <v>33140</v>
      </c>
      <c r="Y8" s="42">
        <f>SUM(X8*12)</f>
        <v>397680</v>
      </c>
      <c r="Z8" s="41">
        <v>33140</v>
      </c>
      <c r="AA8" s="41">
        <v>34430</v>
      </c>
      <c r="AB8" s="43">
        <f>SUM(AA8-Z8)</f>
        <v>1290</v>
      </c>
      <c r="AC8" s="42">
        <f>SUM(AB8*12)</f>
        <v>15480</v>
      </c>
      <c r="AD8" s="41">
        <f>SUM(AA8)</f>
        <v>34430</v>
      </c>
      <c r="AE8" s="41">
        <v>35760</v>
      </c>
      <c r="AF8" s="43">
        <f>SUM(AE8-AD8)</f>
        <v>1330</v>
      </c>
      <c r="AG8" s="42">
        <f>SUM(AF8*12)</f>
        <v>15960</v>
      </c>
      <c r="AH8" s="41">
        <f>SUM(AE8)</f>
        <v>35760</v>
      </c>
      <c r="AI8" s="41">
        <v>37130</v>
      </c>
      <c r="AJ8" s="43">
        <f>SUM(AI8-AH8)</f>
        <v>1370</v>
      </c>
      <c r="AK8" s="42">
        <f>SUM(AJ8*12)</f>
        <v>16440</v>
      </c>
      <c r="AL8" s="39"/>
      <c r="AM8" s="40"/>
      <c r="AN8" s="40"/>
      <c r="AO8" s="40"/>
      <c r="AP8" s="40"/>
      <c r="AQ8" s="40"/>
      <c r="AR8" s="40"/>
      <c r="AS8" s="40"/>
      <c r="AT8" s="40"/>
      <c r="AU8" s="40"/>
    </row>
    <row r="9" spans="1:47" ht="21" customHeight="1" x14ac:dyDescent="0.5">
      <c r="A9" s="12">
        <v>2</v>
      </c>
      <c r="B9" s="60" t="s">
        <v>39</v>
      </c>
      <c r="C9" s="20" t="s">
        <v>40</v>
      </c>
      <c r="D9" s="12">
        <v>1</v>
      </c>
      <c r="E9" s="12">
        <v>1</v>
      </c>
      <c r="F9" s="15">
        <f>SUM(42210*12)+3500*12</f>
        <v>548520</v>
      </c>
      <c r="G9" s="55">
        <v>1</v>
      </c>
      <c r="H9" s="55">
        <v>1</v>
      </c>
      <c r="I9" s="55">
        <v>1</v>
      </c>
      <c r="J9" s="70" t="s">
        <v>37</v>
      </c>
      <c r="K9" s="70" t="s">
        <v>37</v>
      </c>
      <c r="L9" s="70" t="s">
        <v>37</v>
      </c>
      <c r="M9" s="70">
        <f>1370*12</f>
        <v>16440</v>
      </c>
      <c r="N9" s="69">
        <f>1410*12</f>
        <v>16920</v>
      </c>
      <c r="O9" s="69">
        <f>1500*12</f>
        <v>18000</v>
      </c>
      <c r="P9" s="70">
        <f>SUM(F9+M9)</f>
        <v>564960</v>
      </c>
      <c r="Q9" s="15">
        <f>SUM(F9+N9)</f>
        <v>565440</v>
      </c>
      <c r="R9" s="15">
        <f>SUM(F9+7)</f>
        <v>548527</v>
      </c>
      <c r="S9" s="33"/>
      <c r="W9" s="44" t="s">
        <v>41</v>
      </c>
      <c r="X9" s="45">
        <v>42210</v>
      </c>
      <c r="Y9" s="46">
        <f>SUM(X9*12)</f>
        <v>506520</v>
      </c>
      <c r="Z9" s="41">
        <v>42210</v>
      </c>
      <c r="AA9" s="45">
        <v>43580</v>
      </c>
      <c r="AB9" s="43">
        <f>SUM(AA9-Z9)</f>
        <v>1370</v>
      </c>
      <c r="AC9" s="42">
        <f>SUM(AB9*12)</f>
        <v>16440</v>
      </c>
      <c r="AD9" s="41">
        <f>SUM(AA9)</f>
        <v>43580</v>
      </c>
      <c r="AE9" s="45">
        <v>44990</v>
      </c>
      <c r="AF9" s="47">
        <f>SUM(AE9-AD9)</f>
        <v>1410</v>
      </c>
      <c r="AG9" s="46">
        <f>SUM(AF9*12)</f>
        <v>16920</v>
      </c>
      <c r="AH9" s="41">
        <f t="shared" ref="AH9:AH25" si="0">SUM(AE9)</f>
        <v>44990</v>
      </c>
      <c r="AI9" s="45">
        <v>46490</v>
      </c>
      <c r="AJ9" s="47">
        <f>SUM(AI9-AH9)</f>
        <v>1500</v>
      </c>
      <c r="AK9" s="46">
        <f>SUM(AJ9*12)</f>
        <v>18000</v>
      </c>
      <c r="AL9" s="39"/>
      <c r="AM9" s="44"/>
      <c r="AN9" s="44"/>
      <c r="AO9" s="44"/>
      <c r="AP9" s="44"/>
      <c r="AQ9" s="44"/>
      <c r="AR9" s="44"/>
      <c r="AS9" s="44"/>
      <c r="AT9" s="44"/>
      <c r="AU9" s="44"/>
    </row>
    <row r="10" spans="1:47" ht="21" customHeight="1" x14ac:dyDescent="0.5">
      <c r="A10" s="12"/>
      <c r="B10" s="61" t="s">
        <v>42</v>
      </c>
      <c r="C10" s="20"/>
      <c r="D10" s="12"/>
      <c r="E10" s="12"/>
      <c r="F10" s="14"/>
      <c r="G10" s="55"/>
      <c r="H10" s="55"/>
      <c r="I10" s="55"/>
      <c r="J10" s="70"/>
      <c r="K10" s="70"/>
      <c r="L10" s="70"/>
      <c r="M10" s="70"/>
      <c r="N10" s="69"/>
      <c r="O10" s="69"/>
      <c r="P10" s="15"/>
      <c r="Q10" s="15"/>
      <c r="R10" s="15"/>
      <c r="S10" s="35"/>
      <c r="W10" s="48" t="s">
        <v>42</v>
      </c>
      <c r="X10" s="38"/>
      <c r="Y10" s="38"/>
      <c r="Z10" s="41"/>
      <c r="AA10" s="38"/>
      <c r="AB10" s="38"/>
      <c r="AC10" s="38"/>
      <c r="AD10" s="41">
        <f>SUM(X10)</f>
        <v>0</v>
      </c>
      <c r="AE10" s="38"/>
      <c r="AF10" s="38"/>
      <c r="AG10" s="38"/>
      <c r="AH10" s="41">
        <f t="shared" si="0"/>
        <v>0</v>
      </c>
      <c r="AI10" s="38"/>
      <c r="AJ10" s="38"/>
      <c r="AK10" s="38"/>
      <c r="AL10" s="39"/>
      <c r="AM10" s="44"/>
      <c r="AN10" s="44"/>
      <c r="AO10" s="44"/>
      <c r="AP10" s="44"/>
      <c r="AQ10" s="44"/>
      <c r="AR10" s="44"/>
      <c r="AS10" s="44"/>
      <c r="AT10" s="44"/>
      <c r="AU10" s="44"/>
    </row>
    <row r="11" spans="1:47" ht="21" customHeight="1" x14ac:dyDescent="0.5">
      <c r="A11" s="12">
        <v>3</v>
      </c>
      <c r="B11" s="60" t="s">
        <v>43</v>
      </c>
      <c r="C11" s="20" t="s">
        <v>40</v>
      </c>
      <c r="D11" s="12">
        <v>1</v>
      </c>
      <c r="E11" s="12">
        <v>1</v>
      </c>
      <c r="F11" s="15">
        <f>SUM(26980*12)+3500*12</f>
        <v>365760</v>
      </c>
      <c r="G11" s="55">
        <v>1</v>
      </c>
      <c r="H11" s="55">
        <v>1</v>
      </c>
      <c r="I11" s="55">
        <v>1</v>
      </c>
      <c r="J11" s="70" t="s">
        <v>37</v>
      </c>
      <c r="K11" s="70" t="s">
        <v>37</v>
      </c>
      <c r="L11" s="70" t="s">
        <v>37</v>
      </c>
      <c r="M11" s="70">
        <f>1050*12</f>
        <v>12600</v>
      </c>
      <c r="N11" s="69">
        <f>1080*12</f>
        <v>12960</v>
      </c>
      <c r="O11" s="69">
        <f>1110*12</f>
        <v>13320</v>
      </c>
      <c r="P11" s="70">
        <f t="shared" ref="P11:P16" si="1">SUM(F11+M11)</f>
        <v>378360</v>
      </c>
      <c r="Q11" s="15">
        <f t="shared" ref="Q11:Q16" si="2">SUM(F11+N11)</f>
        <v>378720</v>
      </c>
      <c r="R11" s="15">
        <f t="shared" ref="R11:R16" si="3">SUM(F11+7)</f>
        <v>365767</v>
      </c>
      <c r="S11" s="35"/>
      <c r="W11" s="44" t="s">
        <v>44</v>
      </c>
      <c r="X11" s="45">
        <v>26980</v>
      </c>
      <c r="Y11" s="46">
        <f t="shared" ref="Y11:Y16" si="4">SUM(X11*12)</f>
        <v>323760</v>
      </c>
      <c r="Z11" s="41">
        <f t="shared" ref="Z11:Z16" si="5">SUM(X11)</f>
        <v>26980</v>
      </c>
      <c r="AA11" s="45">
        <v>28030</v>
      </c>
      <c r="AB11" s="43">
        <f t="shared" ref="AB11:AB16" si="6">SUM(AA11-Z11)</f>
        <v>1050</v>
      </c>
      <c r="AC11" s="42">
        <f t="shared" ref="AC11:AC16" si="7">SUM(AB11*12)</f>
        <v>12600</v>
      </c>
      <c r="AD11" s="41">
        <f>SUM(AA11)</f>
        <v>28030</v>
      </c>
      <c r="AE11" s="45">
        <v>29110</v>
      </c>
      <c r="AF11" s="47">
        <f t="shared" ref="AF11:AF16" si="8">SUM(AE11-AD11)</f>
        <v>1080</v>
      </c>
      <c r="AG11" s="46">
        <f t="shared" ref="AG11:AG16" si="9">SUM(AF11*12)</f>
        <v>12960</v>
      </c>
      <c r="AH11" s="41">
        <f t="shared" si="0"/>
        <v>29110</v>
      </c>
      <c r="AI11" s="45">
        <v>30220</v>
      </c>
      <c r="AJ11" s="47">
        <f t="shared" ref="AJ11:AJ16" si="10">SUM(AI11-AH11)</f>
        <v>1110</v>
      </c>
      <c r="AK11" s="46">
        <f t="shared" ref="AK11:AK16" si="11">SUM(AJ11*12)</f>
        <v>13320</v>
      </c>
      <c r="AL11" s="39"/>
      <c r="AM11" s="44"/>
      <c r="AN11" s="44"/>
      <c r="AO11" s="44"/>
      <c r="AP11" s="44"/>
      <c r="AQ11" s="44"/>
      <c r="AR11" s="44"/>
      <c r="AS11" s="44"/>
      <c r="AT11" s="44"/>
      <c r="AU11" s="44"/>
    </row>
    <row r="12" spans="1:47" ht="21" customHeight="1" x14ac:dyDescent="0.5">
      <c r="A12" s="12">
        <v>4</v>
      </c>
      <c r="B12" s="60" t="s">
        <v>45</v>
      </c>
      <c r="C12" s="20" t="s">
        <v>46</v>
      </c>
      <c r="D12" s="12">
        <v>1</v>
      </c>
      <c r="E12" s="12">
        <v>1</v>
      </c>
      <c r="F12" s="15">
        <f>SUM(23550*12)</f>
        <v>282600</v>
      </c>
      <c r="G12" s="55">
        <v>1</v>
      </c>
      <c r="H12" s="55">
        <v>1</v>
      </c>
      <c r="I12" s="55">
        <v>1</v>
      </c>
      <c r="J12" s="70" t="s">
        <v>37</v>
      </c>
      <c r="K12" s="70" t="s">
        <v>37</v>
      </c>
      <c r="L12" s="70" t="s">
        <v>37</v>
      </c>
      <c r="M12" s="70">
        <f>940*12</f>
        <v>11280</v>
      </c>
      <c r="N12" s="69">
        <f>980*12</f>
        <v>11760</v>
      </c>
      <c r="O12" s="69">
        <f>SUM(AK12)</f>
        <v>11880</v>
      </c>
      <c r="P12" s="70">
        <f t="shared" si="1"/>
        <v>293880</v>
      </c>
      <c r="Q12" s="15">
        <f t="shared" si="2"/>
        <v>294360</v>
      </c>
      <c r="R12" s="15">
        <f t="shared" si="3"/>
        <v>282607</v>
      </c>
      <c r="S12" s="33"/>
      <c r="W12" s="44" t="s">
        <v>47</v>
      </c>
      <c r="X12" s="45">
        <v>23550</v>
      </c>
      <c r="Y12" s="46">
        <f t="shared" si="4"/>
        <v>282600</v>
      </c>
      <c r="Z12" s="41">
        <f t="shared" si="5"/>
        <v>23550</v>
      </c>
      <c r="AA12" s="45">
        <v>24490</v>
      </c>
      <c r="AB12" s="43">
        <f t="shared" si="6"/>
        <v>940</v>
      </c>
      <c r="AC12" s="42">
        <f t="shared" si="7"/>
        <v>11280</v>
      </c>
      <c r="AD12" s="41">
        <f t="shared" ref="AD12:AD18" si="12">SUM(AA12)</f>
        <v>24490</v>
      </c>
      <c r="AE12" s="45">
        <v>25470</v>
      </c>
      <c r="AF12" s="47">
        <f t="shared" si="8"/>
        <v>980</v>
      </c>
      <c r="AG12" s="46">
        <f t="shared" si="9"/>
        <v>11760</v>
      </c>
      <c r="AH12" s="41">
        <f t="shared" si="0"/>
        <v>25470</v>
      </c>
      <c r="AI12" s="45">
        <v>26460</v>
      </c>
      <c r="AJ12" s="47">
        <f t="shared" si="10"/>
        <v>990</v>
      </c>
      <c r="AK12" s="46">
        <f t="shared" si="11"/>
        <v>11880</v>
      </c>
      <c r="AL12" s="39"/>
      <c r="AM12" s="44"/>
      <c r="AN12" s="44"/>
      <c r="AO12" s="44"/>
      <c r="AP12" s="44"/>
      <c r="AQ12" s="44"/>
      <c r="AR12" s="44"/>
      <c r="AS12" s="44"/>
      <c r="AT12" s="44"/>
      <c r="AU12" s="44"/>
    </row>
    <row r="13" spans="1:47" ht="21" customHeight="1" x14ac:dyDescent="0.5">
      <c r="A13" s="12">
        <v>5</v>
      </c>
      <c r="B13" s="7" t="s">
        <v>48</v>
      </c>
      <c r="C13" s="20" t="s">
        <v>46</v>
      </c>
      <c r="D13" s="12">
        <v>1</v>
      </c>
      <c r="E13" s="12">
        <v>1</v>
      </c>
      <c r="F13" s="15">
        <f>SUM(24970*12)</f>
        <v>299640</v>
      </c>
      <c r="G13" s="55">
        <v>1</v>
      </c>
      <c r="H13" s="55">
        <v>1</v>
      </c>
      <c r="I13" s="55">
        <v>1</v>
      </c>
      <c r="J13" s="70" t="s">
        <v>37</v>
      </c>
      <c r="K13" s="70" t="s">
        <v>37</v>
      </c>
      <c r="L13" s="70" t="s">
        <v>37</v>
      </c>
      <c r="M13" s="70">
        <f>1000*12</f>
        <v>12000</v>
      </c>
      <c r="N13" s="69">
        <f>1010*12</f>
        <v>12120</v>
      </c>
      <c r="O13" s="69">
        <f>1050*12</f>
        <v>12600</v>
      </c>
      <c r="P13" s="70">
        <f t="shared" si="1"/>
        <v>311640</v>
      </c>
      <c r="Q13" s="15">
        <f t="shared" si="2"/>
        <v>311760</v>
      </c>
      <c r="R13" s="15">
        <f t="shared" si="3"/>
        <v>299647</v>
      </c>
      <c r="S13" s="33"/>
      <c r="W13" s="29" t="s">
        <v>49</v>
      </c>
      <c r="X13" s="45">
        <v>24970</v>
      </c>
      <c r="Y13" s="46">
        <f t="shared" si="4"/>
        <v>299640</v>
      </c>
      <c r="Z13" s="41">
        <f t="shared" si="5"/>
        <v>24970</v>
      </c>
      <c r="AA13" s="45">
        <v>25970</v>
      </c>
      <c r="AB13" s="43">
        <f t="shared" si="6"/>
        <v>1000</v>
      </c>
      <c r="AC13" s="42">
        <f t="shared" si="7"/>
        <v>12000</v>
      </c>
      <c r="AD13" s="41">
        <f t="shared" si="12"/>
        <v>25970</v>
      </c>
      <c r="AE13" s="45">
        <v>26980</v>
      </c>
      <c r="AF13" s="47">
        <f t="shared" si="8"/>
        <v>1010</v>
      </c>
      <c r="AG13" s="46">
        <f t="shared" si="9"/>
        <v>12120</v>
      </c>
      <c r="AH13" s="41">
        <f t="shared" si="0"/>
        <v>26980</v>
      </c>
      <c r="AI13" s="45">
        <v>28030</v>
      </c>
      <c r="AJ13" s="47">
        <f t="shared" si="10"/>
        <v>1050</v>
      </c>
      <c r="AK13" s="46">
        <f t="shared" si="11"/>
        <v>12600</v>
      </c>
      <c r="AL13" s="39"/>
      <c r="AM13" s="44"/>
      <c r="AN13" s="44"/>
      <c r="AO13" s="44"/>
      <c r="AP13" s="44"/>
      <c r="AQ13" s="44"/>
      <c r="AR13" s="44"/>
      <c r="AS13" s="44"/>
      <c r="AT13" s="44"/>
      <c r="AU13" s="44"/>
    </row>
    <row r="14" spans="1:47" ht="21" customHeight="1" x14ac:dyDescent="0.5">
      <c r="A14" s="12">
        <v>6</v>
      </c>
      <c r="B14" s="7" t="s">
        <v>50</v>
      </c>
      <c r="C14" s="20" t="s">
        <v>46</v>
      </c>
      <c r="D14" s="12">
        <v>1</v>
      </c>
      <c r="E14" s="12">
        <v>1</v>
      </c>
      <c r="F14" s="15">
        <f>SUM(24490*12)</f>
        <v>293880</v>
      </c>
      <c r="G14" s="55">
        <v>1</v>
      </c>
      <c r="H14" s="55">
        <v>1</v>
      </c>
      <c r="I14" s="55">
        <v>1</v>
      </c>
      <c r="J14" s="70" t="s">
        <v>37</v>
      </c>
      <c r="K14" s="70" t="s">
        <v>37</v>
      </c>
      <c r="L14" s="70" t="s">
        <v>37</v>
      </c>
      <c r="M14" s="70">
        <f>980*12</f>
        <v>11760</v>
      </c>
      <c r="N14" s="69">
        <f>990*12</f>
        <v>11880</v>
      </c>
      <c r="O14" s="69">
        <f>SUM(AK14)</f>
        <v>12240</v>
      </c>
      <c r="P14" s="70">
        <f t="shared" si="1"/>
        <v>305640</v>
      </c>
      <c r="Q14" s="15">
        <f t="shared" si="2"/>
        <v>305760</v>
      </c>
      <c r="R14" s="15">
        <f t="shared" si="3"/>
        <v>293887</v>
      </c>
      <c r="S14" s="120"/>
      <c r="W14" s="29" t="s">
        <v>50</v>
      </c>
      <c r="X14" s="45">
        <v>24490</v>
      </c>
      <c r="Y14" s="46">
        <f t="shared" si="4"/>
        <v>293880</v>
      </c>
      <c r="Z14" s="41">
        <f t="shared" si="5"/>
        <v>24490</v>
      </c>
      <c r="AA14" s="45">
        <v>25470</v>
      </c>
      <c r="AB14" s="43">
        <f t="shared" si="6"/>
        <v>980</v>
      </c>
      <c r="AC14" s="42">
        <f t="shared" si="7"/>
        <v>11760</v>
      </c>
      <c r="AD14" s="41">
        <f t="shared" si="12"/>
        <v>25470</v>
      </c>
      <c r="AE14" s="45">
        <v>26460</v>
      </c>
      <c r="AF14" s="47">
        <f t="shared" si="8"/>
        <v>990</v>
      </c>
      <c r="AG14" s="46">
        <f t="shared" si="9"/>
        <v>11880</v>
      </c>
      <c r="AH14" s="41">
        <f t="shared" si="0"/>
        <v>26460</v>
      </c>
      <c r="AI14" s="45">
        <v>27480</v>
      </c>
      <c r="AJ14" s="47">
        <f t="shared" si="10"/>
        <v>1020</v>
      </c>
      <c r="AK14" s="46">
        <f t="shared" si="11"/>
        <v>12240</v>
      </c>
      <c r="AL14" s="39"/>
      <c r="AM14" s="44"/>
      <c r="AN14" s="44"/>
      <c r="AO14" s="44"/>
      <c r="AP14" s="44"/>
      <c r="AQ14" s="44"/>
      <c r="AR14" s="44"/>
      <c r="AS14" s="44"/>
      <c r="AT14" s="44"/>
      <c r="AU14" s="44"/>
    </row>
    <row r="15" spans="1:47" ht="21" customHeight="1" x14ac:dyDescent="0.5">
      <c r="A15" s="12">
        <v>7</v>
      </c>
      <c r="B15" s="62" t="s">
        <v>51</v>
      </c>
      <c r="C15" s="20" t="s">
        <v>52</v>
      </c>
      <c r="D15" s="12">
        <v>1</v>
      </c>
      <c r="E15" s="12">
        <v>1</v>
      </c>
      <c r="F15" s="15">
        <f>SUM(26580*12)</f>
        <v>318960</v>
      </c>
      <c r="G15" s="55">
        <v>1</v>
      </c>
      <c r="H15" s="55">
        <v>1</v>
      </c>
      <c r="I15" s="55">
        <v>1</v>
      </c>
      <c r="J15" s="70" t="s">
        <v>37</v>
      </c>
      <c r="K15" s="70" t="s">
        <v>37</v>
      </c>
      <c r="L15" s="70" t="s">
        <v>37</v>
      </c>
      <c r="M15" s="70">
        <f>910*12</f>
        <v>10920</v>
      </c>
      <c r="N15" s="69">
        <f>940*12</f>
        <v>11280</v>
      </c>
      <c r="O15" s="69">
        <f>910*12</f>
        <v>10920</v>
      </c>
      <c r="P15" s="70">
        <f t="shared" si="1"/>
        <v>329880</v>
      </c>
      <c r="Q15" s="15">
        <f t="shared" si="2"/>
        <v>330240</v>
      </c>
      <c r="R15" s="15">
        <f t="shared" si="3"/>
        <v>318967</v>
      </c>
      <c r="S15" s="35"/>
      <c r="W15" s="172" t="s">
        <v>51</v>
      </c>
      <c r="X15" s="45">
        <v>26580</v>
      </c>
      <c r="Y15" s="46">
        <f t="shared" si="4"/>
        <v>318960</v>
      </c>
      <c r="Z15" s="41">
        <f t="shared" si="5"/>
        <v>26580</v>
      </c>
      <c r="AA15" s="45">
        <v>27490</v>
      </c>
      <c r="AB15" s="43">
        <f t="shared" si="6"/>
        <v>910</v>
      </c>
      <c r="AC15" s="42">
        <f t="shared" si="7"/>
        <v>10920</v>
      </c>
      <c r="AD15" s="41">
        <f t="shared" si="12"/>
        <v>27490</v>
      </c>
      <c r="AE15" s="45">
        <v>28430</v>
      </c>
      <c r="AF15" s="47">
        <f t="shared" si="8"/>
        <v>940</v>
      </c>
      <c r="AG15" s="46">
        <f t="shared" si="9"/>
        <v>11280</v>
      </c>
      <c r="AH15" s="41">
        <f t="shared" si="0"/>
        <v>28430</v>
      </c>
      <c r="AI15" s="45">
        <v>29340</v>
      </c>
      <c r="AJ15" s="47">
        <f t="shared" si="10"/>
        <v>910</v>
      </c>
      <c r="AK15" s="46">
        <f t="shared" si="11"/>
        <v>10920</v>
      </c>
      <c r="AL15" s="39"/>
      <c r="AM15" s="44"/>
      <c r="AN15" s="44"/>
      <c r="AO15" s="44"/>
      <c r="AP15" s="44"/>
      <c r="AQ15" s="44"/>
      <c r="AR15" s="44"/>
      <c r="AS15" s="44"/>
      <c r="AT15" s="44"/>
      <c r="AU15" s="44"/>
    </row>
    <row r="16" spans="1:47" ht="21" customHeight="1" x14ac:dyDescent="0.5">
      <c r="A16" s="12">
        <v>8</v>
      </c>
      <c r="B16" s="7" t="s">
        <v>53</v>
      </c>
      <c r="C16" s="20" t="s">
        <v>54</v>
      </c>
      <c r="D16" s="12">
        <v>1</v>
      </c>
      <c r="E16" s="12">
        <v>1</v>
      </c>
      <c r="F16" s="15">
        <f>SUM(17570*12)</f>
        <v>210840</v>
      </c>
      <c r="G16" s="55">
        <v>1</v>
      </c>
      <c r="H16" s="55">
        <v>1</v>
      </c>
      <c r="I16" s="55">
        <v>1</v>
      </c>
      <c r="J16" s="70" t="s">
        <v>37</v>
      </c>
      <c r="K16" s="70" t="s">
        <v>37</v>
      </c>
      <c r="L16" s="70" t="s">
        <v>37</v>
      </c>
      <c r="M16" s="70">
        <f>620*12</f>
        <v>7440</v>
      </c>
      <c r="N16" s="69">
        <f>600*12</f>
        <v>7200</v>
      </c>
      <c r="O16" s="69">
        <f>620*12</f>
        <v>7440</v>
      </c>
      <c r="P16" s="70">
        <f t="shared" si="1"/>
        <v>218280</v>
      </c>
      <c r="Q16" s="15">
        <f t="shared" si="2"/>
        <v>218040</v>
      </c>
      <c r="R16" s="15">
        <f t="shared" si="3"/>
        <v>210847</v>
      </c>
      <c r="S16" s="33"/>
      <c r="W16" s="29" t="s">
        <v>53</v>
      </c>
      <c r="X16" s="45">
        <v>17570</v>
      </c>
      <c r="Y16" s="46">
        <f t="shared" si="4"/>
        <v>210840</v>
      </c>
      <c r="Z16" s="41">
        <f t="shared" si="5"/>
        <v>17570</v>
      </c>
      <c r="AA16" s="45">
        <v>18190</v>
      </c>
      <c r="AB16" s="43">
        <f t="shared" si="6"/>
        <v>620</v>
      </c>
      <c r="AC16" s="42">
        <f t="shared" si="7"/>
        <v>7440</v>
      </c>
      <c r="AD16" s="41">
        <f t="shared" si="12"/>
        <v>18190</v>
      </c>
      <c r="AE16" s="45">
        <v>18790</v>
      </c>
      <c r="AF16" s="47">
        <f t="shared" si="8"/>
        <v>600</v>
      </c>
      <c r="AG16" s="46">
        <f t="shared" si="9"/>
        <v>7200</v>
      </c>
      <c r="AH16" s="41">
        <f t="shared" si="0"/>
        <v>18790</v>
      </c>
      <c r="AI16" s="45">
        <v>19410</v>
      </c>
      <c r="AJ16" s="47">
        <f t="shared" si="10"/>
        <v>620</v>
      </c>
      <c r="AK16" s="46">
        <f t="shared" si="11"/>
        <v>7440</v>
      </c>
      <c r="AL16" s="39"/>
      <c r="AM16" s="44"/>
      <c r="AN16" s="44"/>
      <c r="AO16" s="44"/>
      <c r="AP16" s="44"/>
      <c r="AQ16" s="44"/>
      <c r="AR16" s="44"/>
      <c r="AS16" s="44"/>
      <c r="AT16" s="44"/>
      <c r="AU16" s="44"/>
    </row>
    <row r="17" spans="1:47" ht="21" customHeight="1" x14ac:dyDescent="0.5">
      <c r="A17" s="12"/>
      <c r="B17" s="27" t="s">
        <v>55</v>
      </c>
      <c r="C17" s="20"/>
      <c r="D17" s="12"/>
      <c r="E17" s="12"/>
      <c r="F17" s="16"/>
      <c r="G17" s="55"/>
      <c r="H17" s="55"/>
      <c r="I17" s="55"/>
      <c r="J17" s="70"/>
      <c r="K17" s="70"/>
      <c r="L17" s="70"/>
      <c r="M17" s="69"/>
      <c r="N17" s="69"/>
      <c r="O17" s="69"/>
      <c r="P17" s="15"/>
      <c r="Q17" s="15"/>
      <c r="R17" s="15"/>
      <c r="S17" s="33"/>
      <c r="W17" s="173" t="s">
        <v>55</v>
      </c>
      <c r="X17" s="45"/>
      <c r="Y17" s="45"/>
      <c r="Z17" s="45"/>
      <c r="AA17" s="45"/>
      <c r="AB17" s="38"/>
      <c r="AC17" s="38"/>
      <c r="AD17" s="41">
        <f t="shared" si="12"/>
        <v>0</v>
      </c>
      <c r="AE17" s="45"/>
      <c r="AF17" s="38"/>
      <c r="AG17" s="38"/>
      <c r="AH17" s="38"/>
      <c r="AI17" s="38"/>
      <c r="AJ17" s="38"/>
      <c r="AK17" s="45"/>
      <c r="AL17" s="39"/>
      <c r="AM17" s="44"/>
      <c r="AN17" s="44"/>
      <c r="AO17" s="44"/>
      <c r="AP17" s="44"/>
      <c r="AQ17" s="44"/>
      <c r="AR17" s="44"/>
      <c r="AS17" s="44"/>
      <c r="AT17" s="44"/>
      <c r="AU17" s="44"/>
    </row>
    <row r="18" spans="1:47" ht="21" customHeight="1" x14ac:dyDescent="0.5">
      <c r="A18" s="12">
        <v>9</v>
      </c>
      <c r="B18" s="7" t="s">
        <v>53</v>
      </c>
      <c r="C18" s="20" t="s">
        <v>37</v>
      </c>
      <c r="D18" s="12">
        <v>1</v>
      </c>
      <c r="E18" s="12">
        <v>1</v>
      </c>
      <c r="F18" s="15">
        <f>SUM(15140*12)</f>
        <v>181680</v>
      </c>
      <c r="G18" s="55">
        <v>1</v>
      </c>
      <c r="H18" s="55">
        <v>1</v>
      </c>
      <c r="I18" s="55">
        <v>1</v>
      </c>
      <c r="J18" s="70" t="s">
        <v>37</v>
      </c>
      <c r="K18" s="70" t="s">
        <v>37</v>
      </c>
      <c r="L18" s="70" t="s">
        <v>37</v>
      </c>
      <c r="M18" s="70">
        <f>580*12</f>
        <v>6960</v>
      </c>
      <c r="N18" s="69">
        <f>620*12</f>
        <v>7440</v>
      </c>
      <c r="O18" s="69">
        <f>620*12</f>
        <v>7440</v>
      </c>
      <c r="P18" s="70">
        <f>SUM(F18+M18)</f>
        <v>188640</v>
      </c>
      <c r="Q18" s="15">
        <f>SUM(F18+N18)</f>
        <v>189120</v>
      </c>
      <c r="R18" s="15">
        <f>SUM(F18+7)</f>
        <v>181687</v>
      </c>
      <c r="S18" s="33"/>
      <c r="W18" s="7" t="s">
        <v>53</v>
      </c>
      <c r="X18" s="45">
        <v>15140</v>
      </c>
      <c r="Y18" s="71">
        <f>SUM(X18*12)</f>
        <v>181680</v>
      </c>
      <c r="Z18" s="41">
        <f t="shared" ref="Z18:Z23" si="13">SUM(X18)</f>
        <v>15140</v>
      </c>
      <c r="AA18" s="45">
        <v>15720</v>
      </c>
      <c r="AB18" s="43">
        <f t="shared" ref="AB18:AB23" si="14">SUM(AA18-Z18)</f>
        <v>580</v>
      </c>
      <c r="AC18" s="42">
        <f t="shared" ref="AC18:AC23" si="15">SUM(AB18*12)</f>
        <v>6960</v>
      </c>
      <c r="AD18" s="41">
        <f t="shared" si="12"/>
        <v>15720</v>
      </c>
      <c r="AE18" s="45">
        <v>16340</v>
      </c>
      <c r="AF18" s="47">
        <f>SUM(AE18-AD18)</f>
        <v>620</v>
      </c>
      <c r="AG18" s="46">
        <f>SUM(AF18*12)</f>
        <v>7440</v>
      </c>
      <c r="AH18" s="41">
        <f t="shared" si="0"/>
        <v>16340</v>
      </c>
      <c r="AI18" s="45">
        <v>16960</v>
      </c>
      <c r="AJ18" s="47">
        <f>SUM(AI18-AH18)</f>
        <v>620</v>
      </c>
      <c r="AK18" s="46">
        <f>SUM(AJ18*12)</f>
        <v>7440</v>
      </c>
      <c r="AL18" s="46"/>
      <c r="AM18" s="46">
        <f>SUM(X18)</f>
        <v>15140</v>
      </c>
      <c r="AN18" s="49">
        <f>SUM(AM18*4/100)</f>
        <v>605.6</v>
      </c>
      <c r="AO18" s="44">
        <v>530</v>
      </c>
      <c r="AP18" s="50">
        <f>SUM(AM18+AO18)</f>
        <v>15670</v>
      </c>
      <c r="AQ18" s="51">
        <f>SUM(AP18*4/100)</f>
        <v>626.79999999999995</v>
      </c>
      <c r="AR18" s="44">
        <v>560</v>
      </c>
      <c r="AS18" s="50">
        <f>SUM(AP18+AR18)</f>
        <v>16230</v>
      </c>
      <c r="AT18" s="51">
        <f>SUM(AS18*4/100)</f>
        <v>649.20000000000005</v>
      </c>
      <c r="AU18" s="44">
        <v>580</v>
      </c>
    </row>
    <row r="19" spans="1:47" ht="21" customHeight="1" x14ac:dyDescent="0.5">
      <c r="A19" s="12"/>
      <c r="B19" s="36" t="s">
        <v>56</v>
      </c>
      <c r="C19" s="20"/>
      <c r="D19" s="12"/>
      <c r="E19" s="12"/>
      <c r="F19" s="14"/>
      <c r="G19" s="55"/>
      <c r="H19" s="55"/>
      <c r="I19" s="55"/>
      <c r="J19" s="70"/>
      <c r="K19" s="70"/>
      <c r="L19" s="70"/>
      <c r="M19" s="69"/>
      <c r="N19" s="69"/>
      <c r="O19" s="69"/>
      <c r="P19" s="15"/>
      <c r="Q19" s="15"/>
      <c r="R19" s="15"/>
      <c r="S19" s="33"/>
      <c r="W19" s="36" t="s">
        <v>56</v>
      </c>
      <c r="X19" s="45"/>
      <c r="Y19" s="46"/>
      <c r="Z19" s="41"/>
      <c r="AA19" s="45"/>
      <c r="AB19" s="43">
        <f t="shared" si="14"/>
        <v>0</v>
      </c>
      <c r="AC19" s="42">
        <f t="shared" si="15"/>
        <v>0</v>
      </c>
      <c r="AD19" s="41"/>
      <c r="AE19" s="59"/>
      <c r="AF19" s="57"/>
      <c r="AG19" s="58"/>
      <c r="AH19" s="41">
        <f t="shared" si="0"/>
        <v>0</v>
      </c>
      <c r="AI19" s="59"/>
      <c r="AJ19" s="57"/>
      <c r="AK19" s="58"/>
      <c r="AL19" s="46"/>
      <c r="AM19" s="46"/>
      <c r="AN19" s="49"/>
      <c r="AO19" s="44"/>
      <c r="AP19" s="50"/>
      <c r="AQ19" s="51"/>
      <c r="AR19" s="44"/>
      <c r="AS19" s="50"/>
      <c r="AT19" s="51"/>
      <c r="AU19" s="44"/>
    </row>
    <row r="20" spans="1:47" ht="21" customHeight="1" x14ac:dyDescent="0.5">
      <c r="A20" s="12">
        <v>10</v>
      </c>
      <c r="B20" s="7" t="s">
        <v>57</v>
      </c>
      <c r="C20" s="20" t="s">
        <v>37</v>
      </c>
      <c r="D20" s="12">
        <v>1</v>
      </c>
      <c r="E20" s="12">
        <v>1</v>
      </c>
      <c r="F20" s="15">
        <f>13285*12</f>
        <v>159420</v>
      </c>
      <c r="G20" s="55">
        <v>1</v>
      </c>
      <c r="H20" s="55">
        <v>1</v>
      </c>
      <c r="I20" s="55">
        <v>1</v>
      </c>
      <c r="J20" s="70" t="s">
        <v>37</v>
      </c>
      <c r="K20" s="70" t="s">
        <v>37</v>
      </c>
      <c r="L20" s="70" t="s">
        <v>37</v>
      </c>
      <c r="M20" s="70">
        <v>5160</v>
      </c>
      <c r="N20" s="69">
        <v>5280</v>
      </c>
      <c r="O20" s="69">
        <f>460*12</f>
        <v>5520</v>
      </c>
      <c r="P20" s="70">
        <f>SUM(F20+M20)</f>
        <v>164580</v>
      </c>
      <c r="Q20" s="15">
        <f>SUM(F20+N20)</f>
        <v>164700</v>
      </c>
      <c r="R20" s="15">
        <f>SUM(F20+7)</f>
        <v>159427</v>
      </c>
      <c r="S20" s="33"/>
      <c r="W20" s="7" t="s">
        <v>57</v>
      </c>
      <c r="X20" s="45">
        <v>10580</v>
      </c>
      <c r="Y20" s="71">
        <f t="shared" ref="Y20:Y26" si="16">SUM(X20*12)</f>
        <v>126960</v>
      </c>
      <c r="Z20" s="41">
        <f t="shared" si="13"/>
        <v>10580</v>
      </c>
      <c r="AA20" s="45">
        <v>0</v>
      </c>
      <c r="AB20" s="43">
        <f>430*12</f>
        <v>5160</v>
      </c>
      <c r="AC20" s="42">
        <f t="shared" si="15"/>
        <v>61920</v>
      </c>
      <c r="AD20" s="41">
        <f>SUM(AA20)</f>
        <v>0</v>
      </c>
      <c r="AE20" s="41">
        <f>SUM(AD20*4/100)+AD20</f>
        <v>0</v>
      </c>
      <c r="AF20" s="47">
        <f>SUM(AE20-AD20)</f>
        <v>0</v>
      </c>
      <c r="AG20" s="46">
        <f>SUM(AF20*12)</f>
        <v>0</v>
      </c>
      <c r="AH20" s="41">
        <f t="shared" si="0"/>
        <v>0</v>
      </c>
      <c r="AI20" s="59"/>
      <c r="AJ20" s="57"/>
      <c r="AK20" s="58"/>
      <c r="AL20" s="46"/>
      <c r="AM20" s="46">
        <f t="shared" ref="AM20:AM26" si="17">SUM(X20)</f>
        <v>10580</v>
      </c>
      <c r="AN20" s="49">
        <f>SUM(AM20*4/100)</f>
        <v>423.2</v>
      </c>
      <c r="AO20" s="44">
        <v>410</v>
      </c>
      <c r="AP20" s="50">
        <f>SUM(AM20+AO20)</f>
        <v>10990</v>
      </c>
      <c r="AQ20" s="51">
        <f>SUM(AP20*4/100)</f>
        <v>439.6</v>
      </c>
      <c r="AR20" s="44">
        <v>430</v>
      </c>
      <c r="AS20" s="50">
        <f>SUM(AP20+AR20)</f>
        <v>11420</v>
      </c>
      <c r="AT20" s="51">
        <f>SUM(AS20*4/100)</f>
        <v>456.8</v>
      </c>
      <c r="AU20" s="44">
        <v>450</v>
      </c>
    </row>
    <row r="21" spans="1:47" ht="21" customHeight="1" x14ac:dyDescent="0.5">
      <c r="A21" s="12">
        <v>11</v>
      </c>
      <c r="B21" s="7" t="s">
        <v>58</v>
      </c>
      <c r="C21" s="20" t="s">
        <v>37</v>
      </c>
      <c r="D21" s="12">
        <v>1</v>
      </c>
      <c r="E21" s="12">
        <v>1</v>
      </c>
      <c r="F21" s="15">
        <f>SUM(13285*12)</f>
        <v>159420</v>
      </c>
      <c r="G21" s="55">
        <v>1</v>
      </c>
      <c r="H21" s="55">
        <v>1</v>
      </c>
      <c r="I21" s="55">
        <v>1</v>
      </c>
      <c r="J21" s="70" t="s">
        <v>37</v>
      </c>
      <c r="K21" s="70" t="s">
        <v>37</v>
      </c>
      <c r="L21" s="70" t="s">
        <v>37</v>
      </c>
      <c r="M21" s="70">
        <v>5760</v>
      </c>
      <c r="N21" s="69">
        <v>6000</v>
      </c>
      <c r="O21" s="69">
        <f>520*12</f>
        <v>6240</v>
      </c>
      <c r="P21" s="70">
        <f>SUM(F21+M21)</f>
        <v>165180</v>
      </c>
      <c r="Q21" s="15">
        <f>SUM(F21+N21)</f>
        <v>165420</v>
      </c>
      <c r="R21" s="15">
        <f>SUM(F21+7)</f>
        <v>159427</v>
      </c>
      <c r="S21" s="33"/>
      <c r="W21" s="7" t="s">
        <v>58</v>
      </c>
      <c r="X21" s="45">
        <v>11990</v>
      </c>
      <c r="Y21" s="71">
        <f t="shared" si="16"/>
        <v>143880</v>
      </c>
      <c r="Z21" s="41">
        <f t="shared" si="13"/>
        <v>11990</v>
      </c>
      <c r="AA21" s="45"/>
      <c r="AB21" s="43">
        <f t="shared" si="14"/>
        <v>-11990</v>
      </c>
      <c r="AC21" s="42">
        <f t="shared" si="15"/>
        <v>-143880</v>
      </c>
      <c r="AD21" s="41">
        <f>SUM(AA21)</f>
        <v>0</v>
      </c>
      <c r="AE21" s="41">
        <f>SUM(AD21*4/100)+AD21</f>
        <v>0</v>
      </c>
      <c r="AF21" s="47">
        <f>SUM(AE21-AD21)</f>
        <v>0</v>
      </c>
      <c r="AG21" s="46">
        <f>SUM(AF21*12)</f>
        <v>0</v>
      </c>
      <c r="AH21" s="41">
        <f t="shared" si="0"/>
        <v>0</v>
      </c>
      <c r="AI21" s="59"/>
      <c r="AJ21" s="57"/>
      <c r="AK21" s="58"/>
      <c r="AL21" s="46"/>
      <c r="AM21" s="46">
        <f t="shared" si="17"/>
        <v>11990</v>
      </c>
      <c r="AN21" s="49">
        <f>SUM(AM21*4/100)</f>
        <v>479.6</v>
      </c>
      <c r="AO21" s="44">
        <v>470</v>
      </c>
      <c r="AP21" s="50">
        <f>SUM(AM21+AO21)</f>
        <v>12460</v>
      </c>
      <c r="AQ21" s="51">
        <f>SUM(AP21*4/100)</f>
        <v>498.4</v>
      </c>
      <c r="AR21" s="44">
        <v>490</v>
      </c>
      <c r="AS21" s="50">
        <f>SUM(AP21+AR21)</f>
        <v>12950</v>
      </c>
      <c r="AT21" s="51">
        <f>SUM(AS21*4/100)</f>
        <v>518</v>
      </c>
      <c r="AU21" s="44">
        <v>490</v>
      </c>
    </row>
    <row r="22" spans="1:47" ht="21" customHeight="1" x14ac:dyDescent="0.5">
      <c r="A22" s="12">
        <v>12</v>
      </c>
      <c r="B22" s="7" t="s">
        <v>59</v>
      </c>
      <c r="C22" s="20" t="s">
        <v>37</v>
      </c>
      <c r="D22" s="12">
        <v>1</v>
      </c>
      <c r="E22" s="12">
        <v>1</v>
      </c>
      <c r="F22" s="15">
        <f>SUM(13285*12)</f>
        <v>159420</v>
      </c>
      <c r="G22" s="55">
        <v>1</v>
      </c>
      <c r="H22" s="55">
        <v>1</v>
      </c>
      <c r="I22" s="55">
        <v>1</v>
      </c>
      <c r="J22" s="70" t="s">
        <v>37</v>
      </c>
      <c r="K22" s="70" t="s">
        <v>37</v>
      </c>
      <c r="L22" s="70" t="s">
        <v>37</v>
      </c>
      <c r="M22" s="70">
        <v>5640</v>
      </c>
      <c r="N22" s="69">
        <v>5880</v>
      </c>
      <c r="O22" s="69">
        <f>510*12</f>
        <v>6120</v>
      </c>
      <c r="P22" s="70">
        <f>SUM(F22+M22)</f>
        <v>165060</v>
      </c>
      <c r="Q22" s="15">
        <f>SUM(F22+N22)</f>
        <v>165300</v>
      </c>
      <c r="R22" s="15">
        <f>SUM(F22+7)</f>
        <v>159427</v>
      </c>
      <c r="S22" s="33"/>
      <c r="W22" s="7" t="s">
        <v>59</v>
      </c>
      <c r="X22" s="45">
        <v>11590</v>
      </c>
      <c r="Y22" s="71">
        <f t="shared" si="16"/>
        <v>139080</v>
      </c>
      <c r="Z22" s="41">
        <f t="shared" si="13"/>
        <v>11590</v>
      </c>
      <c r="AA22" s="45"/>
      <c r="AB22" s="43">
        <f t="shared" si="14"/>
        <v>-11590</v>
      </c>
      <c r="AC22" s="42">
        <f t="shared" si="15"/>
        <v>-139080</v>
      </c>
      <c r="AD22" s="41">
        <f>SUM(AA22)</f>
        <v>0</v>
      </c>
      <c r="AE22" s="41">
        <f>SUM(AD22*4/100)+AD22</f>
        <v>0</v>
      </c>
      <c r="AF22" s="47">
        <f>SUM(AE22-AD22)</f>
        <v>0</v>
      </c>
      <c r="AG22" s="46">
        <f>SUM(AF22*12)</f>
        <v>0</v>
      </c>
      <c r="AH22" s="41">
        <f t="shared" si="0"/>
        <v>0</v>
      </c>
      <c r="AI22" s="59"/>
      <c r="AJ22" s="57"/>
      <c r="AK22" s="58"/>
      <c r="AL22" s="46"/>
      <c r="AM22" s="46">
        <f t="shared" si="17"/>
        <v>11590</v>
      </c>
      <c r="AN22" s="49">
        <f>SUM(AM22*4/100)</f>
        <v>463.6</v>
      </c>
      <c r="AO22" s="44">
        <v>450</v>
      </c>
      <c r="AP22" s="50">
        <f>SUM(AM22+AO22)</f>
        <v>12040</v>
      </c>
      <c r="AQ22" s="51">
        <f>SUM(AP22*4/100)</f>
        <v>481.6</v>
      </c>
      <c r="AR22" s="44">
        <v>470</v>
      </c>
      <c r="AS22" s="50">
        <f>SUM(AP22+AR22)</f>
        <v>12510</v>
      </c>
      <c r="AT22" s="51">
        <f>SUM(AS22*4/100)</f>
        <v>500.4</v>
      </c>
      <c r="AU22" s="44">
        <v>490</v>
      </c>
    </row>
    <row r="23" spans="1:47" ht="21" customHeight="1" x14ac:dyDescent="0.5">
      <c r="A23" s="12">
        <v>13</v>
      </c>
      <c r="B23" s="7" t="s">
        <v>60</v>
      </c>
      <c r="C23" s="20" t="s">
        <v>37</v>
      </c>
      <c r="D23" s="12">
        <v>1</v>
      </c>
      <c r="E23" s="12">
        <v>1</v>
      </c>
      <c r="F23" s="15">
        <f>SUM(13285*12)</f>
        <v>159420</v>
      </c>
      <c r="G23" s="55">
        <v>1</v>
      </c>
      <c r="H23" s="55">
        <v>1</v>
      </c>
      <c r="I23" s="55">
        <v>1</v>
      </c>
      <c r="J23" s="70" t="s">
        <v>37</v>
      </c>
      <c r="K23" s="70" t="s">
        <v>37</v>
      </c>
      <c r="L23" s="70" t="s">
        <v>37</v>
      </c>
      <c r="M23" s="70">
        <v>6120</v>
      </c>
      <c r="N23" s="69">
        <v>6360</v>
      </c>
      <c r="O23" s="69">
        <f>560*12</f>
        <v>6720</v>
      </c>
      <c r="P23" s="70">
        <f>SUM(F23+M23)</f>
        <v>165540</v>
      </c>
      <c r="Q23" s="15">
        <f>SUM(F23+N23)</f>
        <v>165780</v>
      </c>
      <c r="R23" s="15">
        <f>SUM(F23+7)</f>
        <v>159427</v>
      </c>
      <c r="S23" s="33"/>
      <c r="W23" s="7" t="s">
        <v>61</v>
      </c>
      <c r="X23" s="45">
        <v>12740</v>
      </c>
      <c r="Y23" s="71">
        <f t="shared" si="16"/>
        <v>152880</v>
      </c>
      <c r="Z23" s="41">
        <f t="shared" si="13"/>
        <v>12740</v>
      </c>
      <c r="AA23" s="45"/>
      <c r="AB23" s="43">
        <f t="shared" si="14"/>
        <v>-12740</v>
      </c>
      <c r="AC23" s="42">
        <f t="shared" si="15"/>
        <v>-152880</v>
      </c>
      <c r="AD23" s="41">
        <f>SUM(AA23)</f>
        <v>0</v>
      </c>
      <c r="AE23" s="41">
        <f>SUM(AD23*4/100)+AD23</f>
        <v>0</v>
      </c>
      <c r="AF23" s="47">
        <f>SUM(AE23-AD23)</f>
        <v>0</v>
      </c>
      <c r="AG23" s="46">
        <f>SUM(AF23*12)</f>
        <v>0</v>
      </c>
      <c r="AH23" s="41">
        <f t="shared" si="0"/>
        <v>0</v>
      </c>
      <c r="AI23" s="59"/>
      <c r="AJ23" s="57"/>
      <c r="AK23" s="58"/>
      <c r="AL23" s="46"/>
      <c r="AM23" s="46">
        <f t="shared" si="17"/>
        <v>12740</v>
      </c>
      <c r="AN23" s="49">
        <f>SUM(AM23*4/100)</f>
        <v>509.6</v>
      </c>
      <c r="AO23" s="44">
        <v>490</v>
      </c>
      <c r="AP23" s="50">
        <f>SUM(AM23+AO23)</f>
        <v>13230</v>
      </c>
      <c r="AQ23" s="51">
        <f>SUM(AP23*4/100)</f>
        <v>529.20000000000005</v>
      </c>
      <c r="AR23" s="44">
        <v>510</v>
      </c>
      <c r="AS23" s="50">
        <f>SUM(AP23+AR23)</f>
        <v>13740</v>
      </c>
      <c r="AT23" s="51">
        <f>SUM(AS23*4/100)</f>
        <v>549.6</v>
      </c>
      <c r="AU23" s="44">
        <v>530</v>
      </c>
    </row>
    <row r="24" spans="1:47" ht="21" customHeight="1" x14ac:dyDescent="0.5">
      <c r="A24" s="12">
        <v>14</v>
      </c>
      <c r="B24" s="7" t="s">
        <v>60</v>
      </c>
      <c r="C24" s="20" t="s">
        <v>37</v>
      </c>
      <c r="D24" s="12">
        <v>1</v>
      </c>
      <c r="E24" s="12" t="s">
        <v>62</v>
      </c>
      <c r="F24" s="14">
        <f>9000*12</f>
        <v>108000</v>
      </c>
      <c r="G24" s="55">
        <v>1</v>
      </c>
      <c r="H24" s="55">
        <v>1</v>
      </c>
      <c r="I24" s="55">
        <v>1</v>
      </c>
      <c r="J24" s="70" t="s">
        <v>37</v>
      </c>
      <c r="K24" s="70" t="s">
        <v>37</v>
      </c>
      <c r="L24" s="70" t="s">
        <v>37</v>
      </c>
      <c r="M24" s="70">
        <f>360*12</f>
        <v>4320</v>
      </c>
      <c r="N24" s="70">
        <f>380*12</f>
        <v>4560</v>
      </c>
      <c r="O24" s="70">
        <f>390*12</f>
        <v>4680</v>
      </c>
      <c r="P24" s="70">
        <f>SUM(F24+M24)</f>
        <v>112320</v>
      </c>
      <c r="Q24" s="15">
        <f>SUM(F24+N24)</f>
        <v>112560</v>
      </c>
      <c r="R24" s="15">
        <f>SUM(F24+7)</f>
        <v>108007</v>
      </c>
      <c r="S24" s="176" t="s">
        <v>63</v>
      </c>
      <c r="W24" s="7" t="s">
        <v>64</v>
      </c>
      <c r="X24" s="45"/>
      <c r="Y24" s="71">
        <f t="shared" si="16"/>
        <v>0</v>
      </c>
      <c r="Z24" s="45"/>
      <c r="AA24" s="45"/>
      <c r="AB24" s="57"/>
      <c r="AC24" s="58"/>
      <c r="AD24" s="41">
        <f>SUM(X24)</f>
        <v>0</v>
      </c>
      <c r="AE24" s="41">
        <f>SUM(AD24*4/100)+AD24</f>
        <v>0</v>
      </c>
      <c r="AF24" s="47">
        <f>SUM(AE24-AD24)</f>
        <v>0</v>
      </c>
      <c r="AG24" s="46">
        <f>SUM(AF24*12)</f>
        <v>0</v>
      </c>
      <c r="AH24" s="41">
        <f t="shared" si="0"/>
        <v>0</v>
      </c>
      <c r="AI24" s="59"/>
      <c r="AJ24" s="57"/>
      <c r="AK24" s="58"/>
      <c r="AL24" s="46"/>
      <c r="AM24" s="46">
        <f t="shared" si="17"/>
        <v>0</v>
      </c>
      <c r="AN24" s="49">
        <f>SUM(AM24*4/100)</f>
        <v>0</v>
      </c>
      <c r="AO24" s="44">
        <v>440</v>
      </c>
      <c r="AP24" s="50">
        <f>SUM(AM24+AO24)</f>
        <v>440</v>
      </c>
      <c r="AQ24" s="51">
        <f>SUM(AP24*4/100)</f>
        <v>17.600000000000001</v>
      </c>
      <c r="AR24" s="44">
        <v>460</v>
      </c>
      <c r="AS24" s="50">
        <f>SUM(AP24+AR24)</f>
        <v>900</v>
      </c>
      <c r="AT24" s="51">
        <f>SUM(AS24*4/100)</f>
        <v>36</v>
      </c>
      <c r="AU24" s="44">
        <v>470</v>
      </c>
    </row>
    <row r="25" spans="1:47" ht="21.75" customHeight="1" x14ac:dyDescent="0.5">
      <c r="A25" s="12"/>
      <c r="B25" s="36" t="s">
        <v>65</v>
      </c>
      <c r="C25" s="20"/>
      <c r="D25" s="12"/>
      <c r="E25" s="12"/>
      <c r="F25" s="15"/>
      <c r="G25" s="55"/>
      <c r="H25" s="55"/>
      <c r="I25" s="55"/>
      <c r="J25" s="70"/>
      <c r="K25" s="70"/>
      <c r="L25" s="70"/>
      <c r="M25" s="69"/>
      <c r="N25" s="69"/>
      <c r="O25" s="69"/>
      <c r="P25" s="15"/>
      <c r="Q25" s="15"/>
      <c r="R25" s="15"/>
      <c r="S25" s="33"/>
      <c r="W25" s="36" t="s">
        <v>65</v>
      </c>
      <c r="X25" s="46"/>
      <c r="Y25" s="71"/>
      <c r="Z25" s="37"/>
      <c r="AA25" s="45"/>
      <c r="AB25" s="57"/>
      <c r="AC25" s="58"/>
      <c r="AD25" s="41">
        <f>SUM(X25)</f>
        <v>0</v>
      </c>
      <c r="AE25" s="59"/>
      <c r="AF25" s="57"/>
      <c r="AG25" s="58"/>
      <c r="AH25" s="41">
        <f t="shared" si="0"/>
        <v>0</v>
      </c>
      <c r="AI25" s="59"/>
      <c r="AJ25" s="57"/>
      <c r="AK25" s="58"/>
      <c r="AL25" s="46"/>
      <c r="AM25" s="46">
        <f t="shared" si="17"/>
        <v>0</v>
      </c>
      <c r="AN25" s="49"/>
      <c r="AO25" s="44"/>
      <c r="AP25" s="50"/>
      <c r="AQ25" s="51"/>
      <c r="AR25" s="44"/>
      <c r="AS25" s="50"/>
      <c r="AT25" s="51"/>
      <c r="AU25" s="44"/>
    </row>
    <row r="26" spans="1:47" ht="28.5" customHeight="1" x14ac:dyDescent="0.5">
      <c r="A26" s="12">
        <v>15</v>
      </c>
      <c r="B26" s="7" t="s">
        <v>60</v>
      </c>
      <c r="C26" s="20" t="s">
        <v>62</v>
      </c>
      <c r="D26" s="20" t="s">
        <v>66</v>
      </c>
      <c r="E26" s="20" t="s">
        <v>62</v>
      </c>
      <c r="F26" s="14">
        <f>9000*12</f>
        <v>108000</v>
      </c>
      <c r="G26" s="55">
        <v>1</v>
      </c>
      <c r="H26" s="55">
        <v>1</v>
      </c>
      <c r="I26" s="55">
        <v>1</v>
      </c>
      <c r="J26" s="104" t="s">
        <v>37</v>
      </c>
      <c r="K26" s="104" t="s">
        <v>37</v>
      </c>
      <c r="L26" s="104" t="s">
        <v>37</v>
      </c>
      <c r="M26" s="104" t="s">
        <v>37</v>
      </c>
      <c r="N26" s="104" t="s">
        <v>37</v>
      </c>
      <c r="O26" s="104" t="s">
        <v>37</v>
      </c>
      <c r="P26" s="70">
        <f>SUM(F26)</f>
        <v>108000</v>
      </c>
      <c r="Q26" s="15">
        <f>SUM(F26)</f>
        <v>108000</v>
      </c>
      <c r="R26" s="15">
        <f>SUM(F26)</f>
        <v>108000</v>
      </c>
      <c r="S26" s="176" t="s">
        <v>63</v>
      </c>
      <c r="W26" s="7" t="s">
        <v>64</v>
      </c>
      <c r="X26" s="46"/>
      <c r="Y26" s="71">
        <f t="shared" si="16"/>
        <v>0</v>
      </c>
      <c r="Z26" s="37"/>
      <c r="AA26" s="45"/>
      <c r="AB26" s="57"/>
      <c r="AC26" s="58"/>
      <c r="AD26" s="41">
        <f>SUM(X26)</f>
        <v>0</v>
      </c>
      <c r="AE26" s="59"/>
      <c r="AF26" s="57"/>
      <c r="AG26" s="58"/>
      <c r="AH26" s="59"/>
      <c r="AI26" s="59"/>
      <c r="AJ26" s="57"/>
      <c r="AK26" s="58"/>
      <c r="AL26" s="46"/>
      <c r="AM26" s="46">
        <f t="shared" si="17"/>
        <v>0</v>
      </c>
      <c r="AN26" s="49">
        <v>0</v>
      </c>
      <c r="AO26" s="44">
        <v>0</v>
      </c>
      <c r="AP26" s="50">
        <f>SUM(AM26+AO26)</f>
        <v>0</v>
      </c>
      <c r="AQ26" s="51">
        <v>0</v>
      </c>
      <c r="AR26" s="44">
        <v>0</v>
      </c>
      <c r="AS26" s="50">
        <f>SUM(AP26+AR26)</f>
        <v>0</v>
      </c>
      <c r="AT26" s="51">
        <v>0</v>
      </c>
      <c r="AU26" s="44">
        <v>0</v>
      </c>
    </row>
    <row r="27" spans="1:47" ht="25.5" customHeight="1" x14ac:dyDescent="0.5">
      <c r="A27" s="218" t="s">
        <v>5</v>
      </c>
      <c r="B27" s="221" t="s">
        <v>6</v>
      </c>
      <c r="C27" s="78" t="s">
        <v>7</v>
      </c>
      <c r="D27" s="199" t="s">
        <v>8</v>
      </c>
      <c r="E27" s="224" t="s">
        <v>67</v>
      </c>
      <c r="F27" s="224"/>
      <c r="G27" s="225" t="s">
        <v>68</v>
      </c>
      <c r="H27" s="225"/>
      <c r="I27" s="225"/>
      <c r="J27" s="226" t="s">
        <v>11</v>
      </c>
      <c r="K27" s="225"/>
      <c r="L27" s="225"/>
      <c r="M27" s="226" t="s">
        <v>69</v>
      </c>
      <c r="N27" s="225"/>
      <c r="O27" s="227"/>
      <c r="P27" s="225" t="s">
        <v>13</v>
      </c>
      <c r="Q27" s="225"/>
      <c r="R27" s="227"/>
      <c r="S27" s="79" t="s">
        <v>14</v>
      </c>
      <c r="W27" s="28"/>
      <c r="X27" s="46"/>
      <c r="Y27" s="71"/>
      <c r="Z27" s="37"/>
      <c r="AA27" s="45"/>
      <c r="AB27" s="57"/>
      <c r="AC27" s="58"/>
      <c r="AD27" s="41"/>
      <c r="AE27" s="59"/>
      <c r="AF27" s="57"/>
      <c r="AG27" s="58"/>
      <c r="AH27" s="59"/>
      <c r="AI27" s="59"/>
      <c r="AJ27" s="57"/>
      <c r="AK27" s="58"/>
      <c r="AL27" s="39"/>
      <c r="AM27" s="46"/>
      <c r="AN27" s="49"/>
      <c r="AO27" s="44"/>
      <c r="AP27" s="50"/>
      <c r="AQ27" s="51"/>
      <c r="AR27" s="44"/>
      <c r="AS27" s="50"/>
      <c r="AT27" s="51"/>
      <c r="AU27" s="44"/>
    </row>
    <row r="28" spans="1:47" ht="25.5" customHeight="1" x14ac:dyDescent="0.5">
      <c r="A28" s="219"/>
      <c r="B28" s="222"/>
      <c r="C28" s="83" t="s">
        <v>15</v>
      </c>
      <c r="D28" s="84" t="s">
        <v>20</v>
      </c>
      <c r="E28" s="198" t="s">
        <v>8</v>
      </c>
      <c r="F28" s="200" t="s">
        <v>16</v>
      </c>
      <c r="G28" s="228" t="s">
        <v>70</v>
      </c>
      <c r="H28" s="228"/>
      <c r="I28" s="228"/>
      <c r="J28" s="229" t="s">
        <v>22</v>
      </c>
      <c r="K28" s="228"/>
      <c r="L28" s="228"/>
      <c r="M28" s="202"/>
      <c r="N28" s="201"/>
      <c r="O28" s="85"/>
      <c r="P28" s="201"/>
      <c r="Q28" s="201"/>
      <c r="R28" s="85"/>
      <c r="S28" s="86"/>
      <c r="W28" s="110"/>
      <c r="X28" s="46"/>
      <c r="Y28" s="71"/>
      <c r="Z28" s="37"/>
      <c r="AA28" s="45"/>
      <c r="AB28" s="57"/>
      <c r="AC28" s="58"/>
      <c r="AD28" s="41"/>
      <c r="AE28" s="59"/>
      <c r="AF28" s="57"/>
      <c r="AG28" s="58"/>
      <c r="AH28" s="59"/>
      <c r="AI28" s="59"/>
      <c r="AJ28" s="57"/>
      <c r="AK28" s="58"/>
      <c r="AL28" s="39"/>
      <c r="AM28" s="46"/>
      <c r="AN28" s="49"/>
      <c r="AO28" s="44"/>
      <c r="AP28" s="50"/>
      <c r="AQ28" s="51"/>
      <c r="AR28" s="44"/>
      <c r="AS28" s="50"/>
      <c r="AT28" s="51"/>
      <c r="AU28" s="44"/>
    </row>
    <row r="29" spans="1:47" ht="25.5" customHeight="1" x14ac:dyDescent="0.5">
      <c r="A29" s="219"/>
      <c r="B29" s="222"/>
      <c r="C29" s="83"/>
      <c r="D29" s="84"/>
      <c r="E29" s="88" t="s">
        <v>24</v>
      </c>
      <c r="F29" s="89" t="s">
        <v>25</v>
      </c>
      <c r="G29" s="90">
        <v>2561</v>
      </c>
      <c r="H29" s="91">
        <v>2562</v>
      </c>
      <c r="I29" s="91">
        <v>2563</v>
      </c>
      <c r="J29" s="90">
        <v>2561</v>
      </c>
      <c r="K29" s="91">
        <v>2562</v>
      </c>
      <c r="L29" s="91">
        <v>2563</v>
      </c>
      <c r="M29" s="90">
        <v>2561</v>
      </c>
      <c r="N29" s="91">
        <v>2562</v>
      </c>
      <c r="O29" s="91">
        <v>2563</v>
      </c>
      <c r="P29" s="90">
        <v>2561</v>
      </c>
      <c r="Q29" s="91">
        <v>2562</v>
      </c>
      <c r="R29" s="91">
        <v>2563</v>
      </c>
      <c r="S29" s="92"/>
      <c r="W29" s="110"/>
      <c r="X29" s="46"/>
      <c r="Y29" s="71"/>
      <c r="Z29" s="37"/>
      <c r="AA29" s="45"/>
      <c r="AB29" s="57"/>
      <c r="AC29" s="58"/>
      <c r="AD29" s="41"/>
      <c r="AE29" s="59"/>
      <c r="AF29" s="57"/>
      <c r="AG29" s="58"/>
      <c r="AH29" s="59"/>
      <c r="AI29" s="59"/>
      <c r="AJ29" s="57"/>
      <c r="AK29" s="58"/>
      <c r="AL29" s="39"/>
      <c r="AM29" s="46"/>
      <c r="AN29" s="49"/>
      <c r="AO29" s="44"/>
      <c r="AP29" s="50"/>
      <c r="AQ29" s="51"/>
      <c r="AR29" s="44"/>
      <c r="AS29" s="50"/>
      <c r="AT29" s="51"/>
      <c r="AU29" s="44"/>
    </row>
    <row r="30" spans="1:47" ht="27" customHeight="1" x14ac:dyDescent="0.5">
      <c r="A30" s="12"/>
      <c r="B30" s="56" t="s">
        <v>71</v>
      </c>
      <c r="C30" s="20"/>
      <c r="D30" s="12"/>
      <c r="E30" s="12"/>
      <c r="F30" s="16"/>
      <c r="G30" s="20"/>
      <c r="H30" s="20"/>
      <c r="I30" s="12"/>
      <c r="J30" s="70"/>
      <c r="K30" s="70"/>
      <c r="L30" s="70"/>
      <c r="M30" s="69"/>
      <c r="N30" s="69"/>
      <c r="O30" s="69"/>
      <c r="P30" s="15"/>
      <c r="Q30" s="15"/>
      <c r="R30" s="15"/>
      <c r="S30" s="33"/>
      <c r="W30" s="174" t="s">
        <v>71</v>
      </c>
      <c r="X30" s="37"/>
      <c r="Y30" s="37"/>
      <c r="Z30" s="37"/>
      <c r="AA30" s="37"/>
      <c r="AB30" s="37"/>
      <c r="AC30" s="37"/>
      <c r="AD30" s="41"/>
      <c r="AE30" s="37"/>
      <c r="AF30" s="37"/>
      <c r="AG30" s="37"/>
      <c r="AH30" s="37"/>
      <c r="AI30" s="37"/>
      <c r="AJ30" s="37"/>
      <c r="AK30" s="37"/>
      <c r="AL30" s="39"/>
      <c r="AM30" s="44"/>
      <c r="AN30" s="44"/>
      <c r="AO30" s="44"/>
      <c r="AP30" s="44"/>
      <c r="AQ30" s="44"/>
      <c r="AR30" s="44"/>
      <c r="AS30" s="44"/>
      <c r="AT30" s="44"/>
      <c r="AU30" s="44"/>
    </row>
    <row r="31" spans="1:47" ht="25.5" customHeight="1" x14ac:dyDescent="0.5">
      <c r="A31" s="12">
        <v>16</v>
      </c>
      <c r="B31" s="114" t="s">
        <v>72</v>
      </c>
      <c r="C31" s="20" t="s">
        <v>40</v>
      </c>
      <c r="D31" s="12">
        <v>1</v>
      </c>
      <c r="E31" s="12">
        <v>1</v>
      </c>
      <c r="F31" s="151">
        <f>SUM(33560*12)+3500*12</f>
        <v>444720</v>
      </c>
      <c r="G31" s="70" t="s">
        <v>37</v>
      </c>
      <c r="H31" s="55">
        <v>1</v>
      </c>
      <c r="I31" s="55">
        <v>1</v>
      </c>
      <c r="J31" s="70" t="s">
        <v>37</v>
      </c>
      <c r="K31" s="70" t="s">
        <v>37</v>
      </c>
      <c r="L31" s="70" t="s">
        <v>37</v>
      </c>
      <c r="M31" s="70">
        <f>1120*12</f>
        <v>13440</v>
      </c>
      <c r="N31" s="69">
        <f>940*12</f>
        <v>11280</v>
      </c>
      <c r="O31" s="69">
        <f>910*12</f>
        <v>10920</v>
      </c>
      <c r="P31" s="70">
        <f>SUM(F31+M31)</f>
        <v>458160</v>
      </c>
      <c r="Q31" s="15">
        <f>SUM(F31+N31)</f>
        <v>456000</v>
      </c>
      <c r="R31" s="15">
        <f>SUM(F31+7)</f>
        <v>444727</v>
      </c>
      <c r="S31" s="33"/>
      <c r="W31" s="172" t="s">
        <v>72</v>
      </c>
      <c r="X31" s="37">
        <v>33560</v>
      </c>
      <c r="Y31" s="46">
        <f>SUM(X31*12)</f>
        <v>402720</v>
      </c>
      <c r="Z31" s="41">
        <f t="shared" ref="Z31:Z46" si="18">SUM(X31)</f>
        <v>33560</v>
      </c>
      <c r="AA31" s="45">
        <v>34680</v>
      </c>
      <c r="AB31" s="43">
        <f>SUM(AA31-Z31)</f>
        <v>1120</v>
      </c>
      <c r="AC31" s="42">
        <f t="shared" ref="AC31:AC45" si="19">SUM(AB31*12)</f>
        <v>13440</v>
      </c>
      <c r="AD31" s="41">
        <f>SUM(AA31)</f>
        <v>34680</v>
      </c>
      <c r="AE31" s="45">
        <v>35770</v>
      </c>
      <c r="AF31" s="47">
        <f>SUM(AE31-AD31)</f>
        <v>1090</v>
      </c>
      <c r="AG31" s="46">
        <f>SUM(AF31*12)</f>
        <v>13080</v>
      </c>
      <c r="AH31" s="41">
        <f>SUM(AE31)</f>
        <v>35770</v>
      </c>
      <c r="AI31" s="45">
        <v>36860</v>
      </c>
      <c r="AJ31" s="47">
        <f>SUM(AI31-AH31)</f>
        <v>1090</v>
      </c>
      <c r="AK31" s="46">
        <f>SUM(AJ31*12)</f>
        <v>13080</v>
      </c>
      <c r="AL31" s="39"/>
      <c r="AM31" s="44"/>
      <c r="AN31" s="44"/>
      <c r="AO31" s="44"/>
      <c r="AP31" s="44"/>
      <c r="AQ31" s="44"/>
      <c r="AR31" s="44"/>
      <c r="AS31" s="44"/>
      <c r="AT31" s="44"/>
      <c r="AU31" s="44"/>
    </row>
    <row r="32" spans="1:47" ht="25.5" customHeight="1" x14ac:dyDescent="0.5">
      <c r="A32" s="12">
        <v>17</v>
      </c>
      <c r="B32" s="7" t="s">
        <v>73</v>
      </c>
      <c r="C32" s="20" t="s">
        <v>52</v>
      </c>
      <c r="D32" s="12">
        <v>1</v>
      </c>
      <c r="E32" s="12">
        <v>1</v>
      </c>
      <c r="F32" s="15">
        <f>SUM(19200*12)</f>
        <v>230400</v>
      </c>
      <c r="G32" s="70" t="s">
        <v>37</v>
      </c>
      <c r="H32" s="55">
        <v>1</v>
      </c>
      <c r="I32" s="55">
        <v>1</v>
      </c>
      <c r="J32" s="70" t="s">
        <v>37</v>
      </c>
      <c r="K32" s="70" t="s">
        <v>37</v>
      </c>
      <c r="L32" s="70" t="s">
        <v>37</v>
      </c>
      <c r="M32" s="70">
        <f>770*12</f>
        <v>9240</v>
      </c>
      <c r="N32" s="69">
        <f>810*12</f>
        <v>9720</v>
      </c>
      <c r="O32" s="69">
        <f>840*12</f>
        <v>10080</v>
      </c>
      <c r="P32" s="70">
        <f>SUM(F32+M32)</f>
        <v>239640</v>
      </c>
      <c r="Q32" s="15">
        <f>SUM(F32+N32)</f>
        <v>240120</v>
      </c>
      <c r="R32" s="15">
        <f>SUM(F32+7)</f>
        <v>230407</v>
      </c>
      <c r="S32" s="33"/>
      <c r="W32" s="29" t="s">
        <v>73</v>
      </c>
      <c r="X32" s="45">
        <v>19200</v>
      </c>
      <c r="Y32" s="46">
        <f>SUM(X32*12)</f>
        <v>230400</v>
      </c>
      <c r="Z32" s="41">
        <f t="shared" si="18"/>
        <v>19200</v>
      </c>
      <c r="AA32" s="45">
        <v>19970</v>
      </c>
      <c r="AB32" s="43">
        <f>SUM(AA32-Z32)</f>
        <v>770</v>
      </c>
      <c r="AC32" s="42">
        <f t="shared" si="19"/>
        <v>9240</v>
      </c>
      <c r="AD32" s="41">
        <f>SUM(AA32)</f>
        <v>19970</v>
      </c>
      <c r="AE32" s="45">
        <v>20780</v>
      </c>
      <c r="AF32" s="47">
        <f>SUM(AE32-AD32)</f>
        <v>810</v>
      </c>
      <c r="AG32" s="46">
        <f>SUM(AF32*12)</f>
        <v>9720</v>
      </c>
      <c r="AH32" s="41">
        <f>SUM(AE32)</f>
        <v>20780</v>
      </c>
      <c r="AI32" s="45">
        <v>21620</v>
      </c>
      <c r="AJ32" s="47">
        <f>SUM(AI32-AH32)</f>
        <v>840</v>
      </c>
      <c r="AK32" s="46">
        <f>SUM(AJ32*12)</f>
        <v>10080</v>
      </c>
      <c r="AL32" s="39"/>
      <c r="AM32" s="44"/>
      <c r="AN32" s="44"/>
      <c r="AO32" s="44"/>
      <c r="AP32" s="44"/>
      <c r="AQ32" s="44"/>
      <c r="AR32" s="44"/>
      <c r="AS32" s="44"/>
      <c r="AT32" s="44"/>
      <c r="AU32" s="44"/>
    </row>
    <row r="33" spans="1:47" ht="25.5" customHeight="1" x14ac:dyDescent="0.5">
      <c r="A33" s="12">
        <v>18</v>
      </c>
      <c r="B33" s="7" t="s">
        <v>74</v>
      </c>
      <c r="C33" s="20" t="s">
        <v>52</v>
      </c>
      <c r="D33" s="12">
        <v>1</v>
      </c>
      <c r="E33" s="12">
        <v>1</v>
      </c>
      <c r="F33" s="15">
        <f>SUM(18440*12)</f>
        <v>221280</v>
      </c>
      <c r="G33" s="70" t="s">
        <v>37</v>
      </c>
      <c r="H33" s="55">
        <v>1</v>
      </c>
      <c r="I33" s="55">
        <v>1</v>
      </c>
      <c r="J33" s="70" t="s">
        <v>37</v>
      </c>
      <c r="K33" s="70" t="s">
        <v>37</v>
      </c>
      <c r="L33" s="70" t="s">
        <v>37</v>
      </c>
      <c r="M33" s="70">
        <f>760*12</f>
        <v>9120</v>
      </c>
      <c r="N33" s="69">
        <f>770*12</f>
        <v>9240</v>
      </c>
      <c r="O33" s="69">
        <f>810*12</f>
        <v>9720</v>
      </c>
      <c r="P33" s="70">
        <f>SUM(F33+M33)</f>
        <v>230400</v>
      </c>
      <c r="Q33" s="15">
        <f>SUM(F33+N33)</f>
        <v>230520</v>
      </c>
      <c r="R33" s="15">
        <f>SUM(F33+7)</f>
        <v>221287</v>
      </c>
      <c r="S33" s="33"/>
      <c r="W33" s="7" t="s">
        <v>74</v>
      </c>
      <c r="X33" s="45">
        <v>18440</v>
      </c>
      <c r="Y33" s="46">
        <f>SUM(X33*12)</f>
        <v>221280</v>
      </c>
      <c r="Z33" s="41">
        <f t="shared" si="18"/>
        <v>18440</v>
      </c>
      <c r="AA33" s="45">
        <v>19200</v>
      </c>
      <c r="AB33" s="43">
        <f>SUM(AA33-Z33)</f>
        <v>760</v>
      </c>
      <c r="AC33" s="42">
        <f t="shared" si="19"/>
        <v>9120</v>
      </c>
      <c r="AD33" s="41">
        <f>SUM(AA33)</f>
        <v>19200</v>
      </c>
      <c r="AE33" s="45">
        <v>19970</v>
      </c>
      <c r="AF33" s="47">
        <f>SUM(AE33-AD33)</f>
        <v>770</v>
      </c>
      <c r="AG33" s="46">
        <f>SUM(AF33*12)</f>
        <v>9240</v>
      </c>
      <c r="AH33" s="41">
        <f>SUM(AE33)</f>
        <v>19970</v>
      </c>
      <c r="AI33" s="45">
        <v>20780</v>
      </c>
      <c r="AJ33" s="47">
        <f>SUM(AI33-AH33)</f>
        <v>810</v>
      </c>
      <c r="AK33" s="46">
        <f>SUM(AJ33*12)</f>
        <v>9720</v>
      </c>
      <c r="AL33" s="39"/>
      <c r="AM33" s="44"/>
      <c r="AN33" s="44"/>
      <c r="AO33" s="44"/>
      <c r="AP33" s="44"/>
      <c r="AQ33" s="44"/>
      <c r="AR33" s="44"/>
      <c r="AS33" s="44"/>
      <c r="AT33" s="44"/>
      <c r="AU33" s="44"/>
    </row>
    <row r="34" spans="1:47" ht="25.5" customHeight="1" x14ac:dyDescent="0.5">
      <c r="A34" s="12">
        <v>19</v>
      </c>
      <c r="B34" s="7" t="s">
        <v>75</v>
      </c>
      <c r="C34" s="20" t="s">
        <v>76</v>
      </c>
      <c r="D34" s="12">
        <v>1</v>
      </c>
      <c r="E34" s="12">
        <v>1</v>
      </c>
      <c r="F34" s="15">
        <f>SUM(22170*12)</f>
        <v>266040</v>
      </c>
      <c r="G34" s="70" t="s">
        <v>37</v>
      </c>
      <c r="H34" s="55">
        <v>1</v>
      </c>
      <c r="I34" s="55">
        <v>1</v>
      </c>
      <c r="J34" s="70" t="s">
        <v>37</v>
      </c>
      <c r="K34" s="70" t="s">
        <v>37</v>
      </c>
      <c r="L34" s="70" t="s">
        <v>37</v>
      </c>
      <c r="M34" s="70">
        <f>910*12</f>
        <v>10920</v>
      </c>
      <c r="N34" s="69">
        <f>930*12</f>
        <v>11160</v>
      </c>
      <c r="O34" s="69">
        <f>960*12</f>
        <v>11520</v>
      </c>
      <c r="P34" s="70">
        <f>SUM(F34+M34)</f>
        <v>276960</v>
      </c>
      <c r="Q34" s="15">
        <f>SUM(F34+N34)</f>
        <v>277200</v>
      </c>
      <c r="R34" s="15">
        <f>SUM(F34+7)</f>
        <v>266047</v>
      </c>
      <c r="S34" s="33"/>
      <c r="W34" s="7" t="s">
        <v>75</v>
      </c>
      <c r="X34" s="45">
        <v>22170</v>
      </c>
      <c r="Y34" s="46">
        <f>SUM(X34*12)</f>
        <v>266040</v>
      </c>
      <c r="Z34" s="41">
        <f t="shared" si="18"/>
        <v>22170</v>
      </c>
      <c r="AA34" s="45">
        <v>23080</v>
      </c>
      <c r="AB34" s="43">
        <f>SUM(AA34-Z34)</f>
        <v>910</v>
      </c>
      <c r="AC34" s="42">
        <f t="shared" si="19"/>
        <v>10920</v>
      </c>
      <c r="AD34" s="41">
        <f>SUM(AA34)</f>
        <v>23080</v>
      </c>
      <c r="AE34" s="45">
        <v>24010</v>
      </c>
      <c r="AF34" s="47">
        <f>SUM(AE34-AD34)</f>
        <v>930</v>
      </c>
      <c r="AG34" s="46">
        <f>SUM(AF34*12)</f>
        <v>11160</v>
      </c>
      <c r="AH34" s="41">
        <f>SUM(AE34)</f>
        <v>24010</v>
      </c>
      <c r="AI34" s="45">
        <v>24970</v>
      </c>
      <c r="AJ34" s="47">
        <f>SUM(AI34-AH34)</f>
        <v>960</v>
      </c>
      <c r="AK34" s="46">
        <f>SUM(AJ34*12)</f>
        <v>11520</v>
      </c>
      <c r="AL34" s="39"/>
      <c r="AM34" s="44"/>
      <c r="AN34" s="44"/>
      <c r="AO34" s="44"/>
      <c r="AP34" s="44"/>
      <c r="AQ34" s="44"/>
      <c r="AR34" s="44"/>
      <c r="AS34" s="44"/>
      <c r="AT34" s="44"/>
      <c r="AU34" s="44"/>
    </row>
    <row r="35" spans="1:47" ht="25.5" customHeight="1" x14ac:dyDescent="0.5">
      <c r="A35" s="12">
        <v>20</v>
      </c>
      <c r="B35" s="7" t="s">
        <v>77</v>
      </c>
      <c r="C35" s="20" t="s">
        <v>52</v>
      </c>
      <c r="D35" s="12">
        <v>1</v>
      </c>
      <c r="E35" s="12">
        <v>1</v>
      </c>
      <c r="F35" s="15">
        <f>SUM(19200*12)</f>
        <v>230400</v>
      </c>
      <c r="G35" s="70" t="s">
        <v>37</v>
      </c>
      <c r="H35" s="55">
        <v>1</v>
      </c>
      <c r="I35" s="55">
        <v>1</v>
      </c>
      <c r="J35" s="70" t="s">
        <v>37</v>
      </c>
      <c r="K35" s="70" t="s">
        <v>37</v>
      </c>
      <c r="L35" s="70" t="s">
        <v>37</v>
      </c>
      <c r="M35" s="70">
        <f>770*12</f>
        <v>9240</v>
      </c>
      <c r="N35" s="69">
        <f>810*12</f>
        <v>9720</v>
      </c>
      <c r="O35" s="69">
        <f>840*12</f>
        <v>10080</v>
      </c>
      <c r="P35" s="70">
        <f>SUM(F35+M35)</f>
        <v>239640</v>
      </c>
      <c r="Q35" s="15">
        <f>SUM(F35+N35)</f>
        <v>240120</v>
      </c>
      <c r="R35" s="15">
        <f>SUM(F35+7)</f>
        <v>230407</v>
      </c>
      <c r="S35" s="33"/>
      <c r="W35" s="7" t="s">
        <v>77</v>
      </c>
      <c r="X35" s="45">
        <v>19200</v>
      </c>
      <c r="Y35" s="46">
        <f>SUM(X35*12)</f>
        <v>230400</v>
      </c>
      <c r="Z35" s="41">
        <f t="shared" si="18"/>
        <v>19200</v>
      </c>
      <c r="AA35" s="45">
        <v>19970</v>
      </c>
      <c r="AB35" s="43">
        <f>SUM(AA35-Z35)</f>
        <v>770</v>
      </c>
      <c r="AC35" s="42">
        <f t="shared" si="19"/>
        <v>9240</v>
      </c>
      <c r="AD35" s="41">
        <f>SUM(AA35)</f>
        <v>19970</v>
      </c>
      <c r="AE35" s="45">
        <v>20780</v>
      </c>
      <c r="AF35" s="47">
        <f>SUM(AE35-AD35)</f>
        <v>810</v>
      </c>
      <c r="AG35" s="46">
        <f>SUM(AF35*12)</f>
        <v>9720</v>
      </c>
      <c r="AH35" s="41">
        <f>SUM(AE35)</f>
        <v>20780</v>
      </c>
      <c r="AI35" s="45">
        <v>21620</v>
      </c>
      <c r="AJ35" s="47">
        <f>SUM(AI35-AH35)</f>
        <v>840</v>
      </c>
      <c r="AK35" s="46">
        <f>SUM(AJ35*12)</f>
        <v>10080</v>
      </c>
      <c r="AL35" s="39"/>
      <c r="AM35" s="44"/>
      <c r="AN35" s="44"/>
      <c r="AO35" s="44"/>
      <c r="AP35" s="44"/>
      <c r="AQ35" s="44"/>
      <c r="AR35" s="44"/>
      <c r="AS35" s="44"/>
      <c r="AT35" s="44"/>
      <c r="AU35" s="44"/>
    </row>
    <row r="36" spans="1:47" ht="33" customHeight="1" x14ac:dyDescent="0.5">
      <c r="A36" s="12"/>
      <c r="B36" s="36" t="s">
        <v>56</v>
      </c>
      <c r="C36" s="20"/>
      <c r="D36" s="12"/>
      <c r="E36" s="12"/>
      <c r="F36" s="15"/>
      <c r="G36" s="70"/>
      <c r="H36" s="20"/>
      <c r="I36" s="12"/>
      <c r="J36" s="70"/>
      <c r="K36" s="70"/>
      <c r="L36" s="70"/>
      <c r="M36" s="70"/>
      <c r="N36" s="69"/>
      <c r="O36" s="69"/>
      <c r="P36" s="15"/>
      <c r="Q36" s="15"/>
      <c r="R36" s="15"/>
      <c r="S36" s="33"/>
      <c r="W36" s="36" t="s">
        <v>56</v>
      </c>
      <c r="X36" s="38"/>
      <c r="Y36" s="38"/>
      <c r="Z36" s="41">
        <f t="shared" si="18"/>
        <v>0</v>
      </c>
      <c r="AA36" s="38"/>
      <c r="AB36" s="38"/>
      <c r="AC36" s="38"/>
      <c r="AD36" s="41">
        <f>SUM(X36)</f>
        <v>0</v>
      </c>
      <c r="AE36" s="38"/>
      <c r="AF36" s="38"/>
      <c r="AG36" s="38"/>
      <c r="AH36" s="38"/>
      <c r="AI36" s="38"/>
      <c r="AJ36" s="38"/>
      <c r="AK36" s="38"/>
      <c r="AL36" s="39"/>
      <c r="AM36" s="44"/>
      <c r="AN36" s="44"/>
      <c r="AO36" s="44"/>
      <c r="AP36" s="44"/>
      <c r="AQ36" s="44"/>
      <c r="AR36" s="44"/>
      <c r="AS36" s="44"/>
      <c r="AT36" s="44"/>
      <c r="AU36" s="44"/>
    </row>
    <row r="37" spans="1:47" ht="25.5" customHeight="1" x14ac:dyDescent="0.5">
      <c r="A37" s="12">
        <v>21</v>
      </c>
      <c r="B37" s="7" t="s">
        <v>78</v>
      </c>
      <c r="C37" s="20" t="s">
        <v>37</v>
      </c>
      <c r="D37" s="12">
        <v>1</v>
      </c>
      <c r="E37" s="12">
        <v>1</v>
      </c>
      <c r="F37" s="15">
        <f>SUM(13285*12)</f>
        <v>159420</v>
      </c>
      <c r="G37" s="70" t="s">
        <v>37</v>
      </c>
      <c r="H37" s="55">
        <v>1</v>
      </c>
      <c r="I37" s="55">
        <v>1</v>
      </c>
      <c r="J37" s="70" t="s">
        <v>37</v>
      </c>
      <c r="K37" s="70" t="s">
        <v>37</v>
      </c>
      <c r="L37" s="70" t="s">
        <v>37</v>
      </c>
      <c r="M37" s="70">
        <v>5520</v>
      </c>
      <c r="N37" s="69">
        <f>480*12</f>
        <v>5760</v>
      </c>
      <c r="O37" s="69">
        <f>500*12</f>
        <v>6000</v>
      </c>
      <c r="P37" s="70">
        <f>SUM(F37+M37)</f>
        <v>164940</v>
      </c>
      <c r="Q37" s="15">
        <f>SUM(F37+N37)</f>
        <v>165180</v>
      </c>
      <c r="R37" s="15">
        <f>SUM(F37+7)</f>
        <v>159427</v>
      </c>
      <c r="S37" s="33"/>
      <c r="W37" s="7" t="s">
        <v>79</v>
      </c>
      <c r="X37" s="45">
        <v>11500</v>
      </c>
      <c r="Y37" s="46">
        <f>SUM(X37*12)</f>
        <v>138000</v>
      </c>
      <c r="Z37" s="41">
        <f t="shared" si="18"/>
        <v>11500</v>
      </c>
      <c r="AA37" s="45"/>
      <c r="AB37" s="43">
        <f t="shared" ref="AB37:AB45" si="20">SUM(AA37-Z37)</f>
        <v>-11500</v>
      </c>
      <c r="AC37" s="42">
        <f t="shared" si="19"/>
        <v>-138000</v>
      </c>
      <c r="AD37" s="41">
        <f t="shared" ref="AD37:AD44" si="21">SUM(AA37)</f>
        <v>0</v>
      </c>
      <c r="AE37" s="45"/>
      <c r="AF37" s="47"/>
      <c r="AG37" s="46"/>
      <c r="AH37" s="41">
        <f t="shared" ref="AH37:AH44" si="22">SUM(AE37)</f>
        <v>0</v>
      </c>
      <c r="AI37" s="45"/>
      <c r="AJ37" s="47"/>
      <c r="AK37" s="46"/>
      <c r="AL37" s="39"/>
      <c r="AM37" s="46">
        <f>SUM(X37)</f>
        <v>11500</v>
      </c>
      <c r="AN37" s="49">
        <f>SUM(AM37*4/100)</f>
        <v>460</v>
      </c>
      <c r="AO37" s="44">
        <v>410</v>
      </c>
      <c r="AP37" s="50">
        <f>SUM(AM37+AO37)</f>
        <v>11910</v>
      </c>
      <c r="AQ37" s="51">
        <f>SUM(AP37*4/100)</f>
        <v>476.4</v>
      </c>
      <c r="AR37" s="44">
        <v>430</v>
      </c>
      <c r="AS37" s="50">
        <f>SUM(AP37+AR37)</f>
        <v>12340</v>
      </c>
      <c r="AT37" s="51">
        <f>SUM(AS37*4/100)</f>
        <v>493.6</v>
      </c>
      <c r="AU37" s="44">
        <v>450</v>
      </c>
    </row>
    <row r="38" spans="1:47" ht="22.5" customHeight="1" x14ac:dyDescent="0.5">
      <c r="A38" s="12"/>
      <c r="B38" s="56" t="s">
        <v>80</v>
      </c>
      <c r="C38" s="20"/>
      <c r="D38" s="12"/>
      <c r="E38" s="12"/>
      <c r="F38" s="16"/>
      <c r="G38" s="70"/>
      <c r="H38" s="20"/>
      <c r="I38" s="12"/>
      <c r="J38" s="70"/>
      <c r="K38" s="70"/>
      <c r="L38" s="70"/>
      <c r="M38" s="69"/>
      <c r="N38" s="69"/>
      <c r="O38" s="69"/>
      <c r="P38" s="15"/>
      <c r="Q38" s="15"/>
      <c r="R38" s="15"/>
      <c r="S38" s="33"/>
      <c r="W38" s="56" t="s">
        <v>80</v>
      </c>
      <c r="X38" s="45"/>
      <c r="Y38" s="46"/>
      <c r="Z38" s="41">
        <f t="shared" si="18"/>
        <v>0</v>
      </c>
      <c r="AA38" s="45"/>
      <c r="AB38" s="43">
        <f t="shared" si="20"/>
        <v>0</v>
      </c>
      <c r="AC38" s="42">
        <f t="shared" si="19"/>
        <v>0</v>
      </c>
      <c r="AD38" s="41">
        <f t="shared" si="21"/>
        <v>0</v>
      </c>
      <c r="AE38" s="45"/>
      <c r="AF38" s="47"/>
      <c r="AG38" s="46"/>
      <c r="AH38" s="41">
        <f t="shared" si="22"/>
        <v>0</v>
      </c>
      <c r="AI38" s="45"/>
      <c r="AJ38" s="47"/>
      <c r="AK38" s="46"/>
      <c r="AL38" s="39"/>
      <c r="AM38" s="46"/>
      <c r="AN38" s="49"/>
      <c r="AO38" s="44"/>
      <c r="AP38" s="50"/>
      <c r="AQ38" s="51"/>
      <c r="AR38" s="44"/>
      <c r="AS38" s="50"/>
      <c r="AT38" s="51"/>
      <c r="AU38" s="44"/>
    </row>
    <row r="39" spans="1:47" ht="25.5" customHeight="1" x14ac:dyDescent="0.5">
      <c r="A39" s="12">
        <v>22</v>
      </c>
      <c r="B39" s="114" t="s">
        <v>81</v>
      </c>
      <c r="C39" s="20" t="s">
        <v>40</v>
      </c>
      <c r="D39" s="12">
        <v>1</v>
      </c>
      <c r="E39" s="12">
        <v>1</v>
      </c>
      <c r="F39" s="15">
        <f>SUM(30220*12)+3500*12</f>
        <v>404640</v>
      </c>
      <c r="G39" s="70" t="s">
        <v>37</v>
      </c>
      <c r="H39" s="55">
        <v>1</v>
      </c>
      <c r="I39" s="55">
        <v>1</v>
      </c>
      <c r="J39" s="70" t="s">
        <v>37</v>
      </c>
      <c r="K39" s="70" t="s">
        <v>37</v>
      </c>
      <c r="L39" s="70" t="s">
        <v>37</v>
      </c>
      <c r="M39" s="70">
        <f>1120*12</f>
        <v>13440</v>
      </c>
      <c r="N39" s="69">
        <f>1110*12</f>
        <v>13320</v>
      </c>
      <c r="O39" s="69">
        <f>1110*12</f>
        <v>13320</v>
      </c>
      <c r="P39" s="70">
        <f>SUM(F39+M39)</f>
        <v>418080</v>
      </c>
      <c r="Q39" s="15">
        <f>SUM(F39+N39)</f>
        <v>417960</v>
      </c>
      <c r="R39" s="15">
        <f>SUM(F39+7)</f>
        <v>404647</v>
      </c>
      <c r="S39" s="33"/>
      <c r="W39" s="7" t="s">
        <v>82</v>
      </c>
      <c r="X39" s="45">
        <v>30220</v>
      </c>
      <c r="Y39" s="46">
        <f>SUM(X39*12)</f>
        <v>362640</v>
      </c>
      <c r="Z39" s="41">
        <f t="shared" si="18"/>
        <v>30220</v>
      </c>
      <c r="AA39" s="45"/>
      <c r="AB39" s="43">
        <f t="shared" si="20"/>
        <v>-30220</v>
      </c>
      <c r="AC39" s="42">
        <f t="shared" si="19"/>
        <v>-362640</v>
      </c>
      <c r="AD39" s="41">
        <f t="shared" si="21"/>
        <v>0</v>
      </c>
      <c r="AE39" s="45">
        <v>32450</v>
      </c>
      <c r="AF39" s="47">
        <f>SUM(AE39-AD39)</f>
        <v>32450</v>
      </c>
      <c r="AG39" s="46">
        <f>SUM(AF39*12)</f>
        <v>389400</v>
      </c>
      <c r="AH39" s="41">
        <f t="shared" si="22"/>
        <v>32450</v>
      </c>
      <c r="AI39" s="45">
        <v>33560</v>
      </c>
      <c r="AJ39" s="47">
        <f>SUM(AI39-AH39)</f>
        <v>1110</v>
      </c>
      <c r="AK39" s="46">
        <f>SUM(AJ39*12)</f>
        <v>13320</v>
      </c>
      <c r="AL39" s="39"/>
      <c r="AM39" s="44"/>
      <c r="AN39" s="44"/>
      <c r="AO39" s="44"/>
      <c r="AP39" s="44"/>
      <c r="AQ39" s="44"/>
      <c r="AR39" s="44"/>
      <c r="AS39" s="44"/>
      <c r="AT39" s="44"/>
      <c r="AU39" s="44"/>
    </row>
    <row r="40" spans="1:47" ht="25.5" customHeight="1" x14ac:dyDescent="0.5">
      <c r="A40" s="12">
        <v>23</v>
      </c>
      <c r="B40" s="7" t="s">
        <v>83</v>
      </c>
      <c r="C40" s="20" t="s">
        <v>52</v>
      </c>
      <c r="D40" s="12">
        <v>1</v>
      </c>
      <c r="E40" s="12">
        <v>1</v>
      </c>
      <c r="F40" s="15">
        <f>SUM(22040*12)</f>
        <v>264480</v>
      </c>
      <c r="G40" s="70" t="s">
        <v>37</v>
      </c>
      <c r="H40" s="55">
        <v>1</v>
      </c>
      <c r="I40" s="55">
        <v>1</v>
      </c>
      <c r="J40" s="70" t="s">
        <v>37</v>
      </c>
      <c r="K40" s="70" t="s">
        <v>37</v>
      </c>
      <c r="L40" s="70" t="s">
        <v>37</v>
      </c>
      <c r="M40" s="70">
        <f>850*12</f>
        <v>10200</v>
      </c>
      <c r="N40" s="69">
        <f>880*12</f>
        <v>10560</v>
      </c>
      <c r="O40" s="69">
        <f>900*12</f>
        <v>10800</v>
      </c>
      <c r="P40" s="70">
        <f>SUM(F40+M40)</f>
        <v>274680</v>
      </c>
      <c r="Q40" s="15">
        <f>SUM(F40+N40)</f>
        <v>275040</v>
      </c>
      <c r="R40" s="15">
        <f>SUM(F40+7)</f>
        <v>264487</v>
      </c>
      <c r="S40" s="118"/>
      <c r="W40" s="7" t="s">
        <v>83</v>
      </c>
      <c r="X40" s="45">
        <v>18440</v>
      </c>
      <c r="Y40" s="46">
        <f>SUM(X40*12)</f>
        <v>221280</v>
      </c>
      <c r="Z40" s="41">
        <f t="shared" si="18"/>
        <v>18440</v>
      </c>
      <c r="AA40" s="45"/>
      <c r="AB40" s="43">
        <f t="shared" si="20"/>
        <v>-18440</v>
      </c>
      <c r="AC40" s="42">
        <f t="shared" si="19"/>
        <v>-221280</v>
      </c>
      <c r="AD40" s="41">
        <f t="shared" si="21"/>
        <v>0</v>
      </c>
      <c r="AE40" s="45">
        <v>19200</v>
      </c>
      <c r="AF40" s="47">
        <f>SUM(AE40-AD40)</f>
        <v>19200</v>
      </c>
      <c r="AG40" s="46">
        <f>SUM(AF40*12)</f>
        <v>230400</v>
      </c>
      <c r="AH40" s="41">
        <f t="shared" si="22"/>
        <v>19200</v>
      </c>
      <c r="AI40" s="45">
        <v>19970</v>
      </c>
      <c r="AJ40" s="47">
        <f>SUM(AI40-AH40)</f>
        <v>770</v>
      </c>
      <c r="AK40" s="46">
        <f>SUM(AJ40*12)</f>
        <v>9240</v>
      </c>
      <c r="AL40" s="39"/>
      <c r="AM40" s="44"/>
      <c r="AN40" s="44"/>
      <c r="AO40" s="44"/>
      <c r="AP40" s="44"/>
      <c r="AQ40" s="44"/>
      <c r="AR40" s="44"/>
      <c r="AS40" s="44"/>
      <c r="AT40" s="44"/>
      <c r="AU40" s="44"/>
    </row>
    <row r="41" spans="1:47" ht="25.5" customHeight="1" x14ac:dyDescent="0.5">
      <c r="A41" s="12">
        <v>24</v>
      </c>
      <c r="B41" s="7" t="s">
        <v>83</v>
      </c>
      <c r="C41" s="20" t="s">
        <v>52</v>
      </c>
      <c r="D41" s="12">
        <v>1</v>
      </c>
      <c r="E41" s="12">
        <v>1</v>
      </c>
      <c r="F41" s="15">
        <f>SUM(18810*12)</f>
        <v>225720</v>
      </c>
      <c r="G41" s="70" t="s">
        <v>37</v>
      </c>
      <c r="H41" s="55">
        <v>1</v>
      </c>
      <c r="I41" s="55">
        <v>1</v>
      </c>
      <c r="J41" s="70" t="s">
        <v>37</v>
      </c>
      <c r="K41" s="70" t="s">
        <v>37</v>
      </c>
      <c r="L41" s="70" t="s">
        <v>37</v>
      </c>
      <c r="M41" s="70">
        <f>770*12</f>
        <v>9240</v>
      </c>
      <c r="N41" s="69">
        <f>780*12</f>
        <v>9360</v>
      </c>
      <c r="O41" s="69">
        <f>830*12</f>
        <v>9960</v>
      </c>
      <c r="P41" s="70">
        <f>SUM(F41+M41)</f>
        <v>234960</v>
      </c>
      <c r="Q41" s="15">
        <f>SUM(F41+N41)</f>
        <v>235080</v>
      </c>
      <c r="R41" s="15">
        <f>SUM(F41+7)</f>
        <v>225727</v>
      </c>
      <c r="S41" s="33"/>
      <c r="W41" s="7" t="s">
        <v>83</v>
      </c>
      <c r="X41" s="45">
        <v>20780</v>
      </c>
      <c r="Y41" s="46">
        <f>SUM(X41*12)</f>
        <v>249360</v>
      </c>
      <c r="Z41" s="41">
        <f t="shared" si="18"/>
        <v>20780</v>
      </c>
      <c r="AA41" s="45"/>
      <c r="AB41" s="43">
        <f t="shared" si="20"/>
        <v>-20780</v>
      </c>
      <c r="AC41" s="42">
        <f t="shared" si="19"/>
        <v>-249360</v>
      </c>
      <c r="AD41" s="41">
        <f t="shared" si="21"/>
        <v>0</v>
      </c>
      <c r="AE41" s="45">
        <v>21620</v>
      </c>
      <c r="AF41" s="47">
        <f>SUM(AE41-AD41)</f>
        <v>21620</v>
      </c>
      <c r="AG41" s="46">
        <f>SUM(AF41*12)</f>
        <v>259440</v>
      </c>
      <c r="AH41" s="41">
        <f t="shared" si="22"/>
        <v>21620</v>
      </c>
      <c r="AI41" s="45">
        <v>22490</v>
      </c>
      <c r="AJ41" s="47">
        <f>SUM(AI41-AH41)</f>
        <v>870</v>
      </c>
      <c r="AK41" s="46">
        <f>SUM(AJ41*12)</f>
        <v>10440</v>
      </c>
      <c r="AL41" s="39"/>
      <c r="AM41" s="44"/>
      <c r="AN41" s="44"/>
      <c r="AO41" s="44"/>
      <c r="AP41" s="44"/>
      <c r="AQ41" s="44"/>
      <c r="AR41" s="44"/>
      <c r="AS41" s="44"/>
      <c r="AT41" s="44"/>
      <c r="AU41" s="44"/>
    </row>
    <row r="42" spans="1:47" ht="25.5" customHeight="1" x14ac:dyDescent="0.5">
      <c r="A42" s="12">
        <v>26</v>
      </c>
      <c r="B42" s="7" t="s">
        <v>83</v>
      </c>
      <c r="C42" s="20" t="s">
        <v>52</v>
      </c>
      <c r="D42" s="12">
        <v>1</v>
      </c>
      <c r="E42" s="12">
        <v>1</v>
      </c>
      <c r="F42" s="15">
        <f>SUM(19580*12)</f>
        <v>234960</v>
      </c>
      <c r="G42" s="70" t="s">
        <v>37</v>
      </c>
      <c r="H42" s="55">
        <v>1</v>
      </c>
      <c r="I42" s="55">
        <v>1</v>
      </c>
      <c r="J42" s="70" t="s">
        <v>37</v>
      </c>
      <c r="K42" s="70" t="s">
        <v>37</v>
      </c>
      <c r="L42" s="70" t="s">
        <v>37</v>
      </c>
      <c r="M42" s="70">
        <f>780*12</f>
        <v>9360</v>
      </c>
      <c r="N42" s="69">
        <f>830*12</f>
        <v>9960</v>
      </c>
      <c r="O42" s="69">
        <f>850*12</f>
        <v>10200</v>
      </c>
      <c r="P42" s="70">
        <f>SUM(F42+M42)</f>
        <v>244320</v>
      </c>
      <c r="Q42" s="15">
        <f>SUM(F42+N42)</f>
        <v>244920</v>
      </c>
      <c r="R42" s="15">
        <f>SUM(F42+7)</f>
        <v>234967</v>
      </c>
      <c r="S42" s="35"/>
      <c r="W42" s="7" t="s">
        <v>83</v>
      </c>
      <c r="X42" s="45">
        <v>21225</v>
      </c>
      <c r="Y42" s="46">
        <f>SUM(X42*12)</f>
        <v>254700</v>
      </c>
      <c r="Z42" s="41">
        <f t="shared" si="18"/>
        <v>21225</v>
      </c>
      <c r="AA42" s="45"/>
      <c r="AB42" s="43">
        <f t="shared" si="20"/>
        <v>-21225</v>
      </c>
      <c r="AC42" s="42">
        <f t="shared" si="19"/>
        <v>-254700</v>
      </c>
      <c r="AD42" s="41">
        <f t="shared" si="21"/>
        <v>0</v>
      </c>
      <c r="AE42" s="45">
        <v>19200</v>
      </c>
      <c r="AF42" s="47">
        <f>SUM(AE42-AD42)</f>
        <v>19200</v>
      </c>
      <c r="AG42" s="46">
        <f>SUM(AF42*12)</f>
        <v>230400</v>
      </c>
      <c r="AH42" s="41">
        <f t="shared" si="22"/>
        <v>19200</v>
      </c>
      <c r="AI42" s="45">
        <v>19970</v>
      </c>
      <c r="AJ42" s="47">
        <f>SUM(AI42-AH42)</f>
        <v>770</v>
      </c>
      <c r="AK42" s="46">
        <f>SUM(AJ42*12)</f>
        <v>9240</v>
      </c>
      <c r="AL42" s="39"/>
      <c r="AM42" s="44"/>
      <c r="AN42" s="44"/>
      <c r="AO42" s="44"/>
      <c r="AP42" s="44"/>
      <c r="AQ42" s="44"/>
      <c r="AR42" s="44"/>
      <c r="AS42" s="44"/>
      <c r="AT42" s="44"/>
      <c r="AU42" s="44"/>
    </row>
    <row r="43" spans="1:47" ht="36.75" customHeight="1" x14ac:dyDescent="0.5">
      <c r="A43" s="12"/>
      <c r="B43" s="63" t="s">
        <v>84</v>
      </c>
      <c r="C43" s="63"/>
      <c r="D43" s="12"/>
      <c r="E43" s="12"/>
      <c r="F43" s="16"/>
      <c r="G43" s="70" t="s">
        <v>37</v>
      </c>
      <c r="H43" s="20"/>
      <c r="I43" s="16"/>
      <c r="J43" s="70" t="s">
        <v>37</v>
      </c>
      <c r="K43" s="70" t="s">
        <v>37</v>
      </c>
      <c r="L43" s="70" t="s">
        <v>37</v>
      </c>
      <c r="M43" s="70" t="s">
        <v>37</v>
      </c>
      <c r="N43" s="69"/>
      <c r="O43" s="69"/>
      <c r="P43" s="15"/>
      <c r="Q43" s="15"/>
      <c r="R43" s="15"/>
      <c r="S43" s="33"/>
      <c r="W43" s="21" t="s">
        <v>85</v>
      </c>
      <c r="X43" s="45"/>
      <c r="Y43" s="46"/>
      <c r="Z43" s="41">
        <f t="shared" si="18"/>
        <v>0</v>
      </c>
      <c r="AA43" s="45"/>
      <c r="AB43" s="43">
        <f t="shared" si="20"/>
        <v>0</v>
      </c>
      <c r="AC43" s="42">
        <f t="shared" si="19"/>
        <v>0</v>
      </c>
      <c r="AD43" s="41">
        <f t="shared" si="21"/>
        <v>0</v>
      </c>
      <c r="AE43" s="45"/>
      <c r="AF43" s="47"/>
      <c r="AG43" s="46"/>
      <c r="AH43" s="41">
        <f t="shared" si="22"/>
        <v>0</v>
      </c>
      <c r="AI43" s="39"/>
      <c r="AJ43" s="47"/>
      <c r="AK43" s="46"/>
      <c r="AL43" s="39"/>
      <c r="AM43" s="46"/>
      <c r="AN43" s="49"/>
      <c r="AO43" s="44"/>
      <c r="AP43" s="50"/>
      <c r="AQ43" s="51"/>
      <c r="AR43" s="44"/>
      <c r="AS43" s="50"/>
      <c r="AT43" s="51"/>
      <c r="AU43" s="44"/>
    </row>
    <row r="44" spans="1:47" ht="30" customHeight="1" x14ac:dyDescent="0.5">
      <c r="A44" s="12">
        <v>27</v>
      </c>
      <c r="B44" s="7" t="s">
        <v>86</v>
      </c>
      <c r="C44" s="20" t="s">
        <v>40</v>
      </c>
      <c r="D44" s="12">
        <v>1</v>
      </c>
      <c r="E44" s="12">
        <v>1</v>
      </c>
      <c r="F44" s="15">
        <f>SUM(24970*12)+3500*12</f>
        <v>341640</v>
      </c>
      <c r="G44" s="70" t="s">
        <v>37</v>
      </c>
      <c r="H44" s="55">
        <v>1</v>
      </c>
      <c r="I44" s="55">
        <v>1</v>
      </c>
      <c r="J44" s="70" t="s">
        <v>37</v>
      </c>
      <c r="K44" s="70" t="s">
        <v>37</v>
      </c>
      <c r="L44" s="70" t="s">
        <v>37</v>
      </c>
      <c r="M44" s="70">
        <f>1000*12</f>
        <v>12000</v>
      </c>
      <c r="N44" s="69">
        <f>1010*12</f>
        <v>12120</v>
      </c>
      <c r="O44" s="69">
        <f>1050*12</f>
        <v>12600</v>
      </c>
      <c r="P44" s="70">
        <f>SUM(F44+M44)</f>
        <v>353640</v>
      </c>
      <c r="Q44" s="15">
        <f>SUM(F44+N44)</f>
        <v>353760</v>
      </c>
      <c r="R44" s="15">
        <f>SUM(F44+7)</f>
        <v>341647</v>
      </c>
      <c r="S44" s="33"/>
      <c r="W44" s="28" t="s">
        <v>87</v>
      </c>
      <c r="X44" s="45">
        <v>24490</v>
      </c>
      <c r="Y44" s="46">
        <f>SUM(X44*12)</f>
        <v>293880</v>
      </c>
      <c r="Z44" s="41">
        <f t="shared" si="18"/>
        <v>24490</v>
      </c>
      <c r="AA44" s="45"/>
      <c r="AB44" s="43">
        <f t="shared" si="20"/>
        <v>-24490</v>
      </c>
      <c r="AC44" s="42">
        <f t="shared" si="19"/>
        <v>-293880</v>
      </c>
      <c r="AD44" s="41">
        <f t="shared" si="21"/>
        <v>0</v>
      </c>
      <c r="AE44" s="45">
        <v>25470</v>
      </c>
      <c r="AF44" s="47">
        <f>SUM(AE44-AD44)</f>
        <v>25470</v>
      </c>
      <c r="AG44" s="46">
        <f>SUM(AF44*12)</f>
        <v>305640</v>
      </c>
      <c r="AH44" s="41">
        <f t="shared" si="22"/>
        <v>25470</v>
      </c>
      <c r="AI44" s="45">
        <v>26460</v>
      </c>
      <c r="AJ44" s="47">
        <f>SUM(AI44-AH44)</f>
        <v>990</v>
      </c>
      <c r="AK44" s="46">
        <f>SUM(AJ44*12)</f>
        <v>11880</v>
      </c>
      <c r="AL44" s="39"/>
      <c r="AM44" s="52"/>
      <c r="AN44" s="52"/>
      <c r="AO44" s="52"/>
      <c r="AP44" s="52"/>
      <c r="AQ44" s="52"/>
      <c r="AR44" s="52"/>
      <c r="AS44" s="52"/>
      <c r="AT44" s="52"/>
      <c r="AU44" s="52"/>
    </row>
    <row r="45" spans="1:47" ht="24.75" customHeight="1" x14ac:dyDescent="0.5">
      <c r="A45" s="12"/>
      <c r="B45" s="7" t="s">
        <v>88</v>
      </c>
      <c r="C45" s="20"/>
      <c r="D45" s="12"/>
      <c r="E45" s="12"/>
      <c r="F45" s="15"/>
      <c r="G45" s="70"/>
      <c r="H45" s="55"/>
      <c r="I45" s="55"/>
      <c r="J45" s="70"/>
      <c r="K45" s="70"/>
      <c r="L45" s="70"/>
      <c r="M45" s="69"/>
      <c r="N45" s="69"/>
      <c r="O45" s="69"/>
      <c r="P45" s="15"/>
      <c r="Q45" s="15"/>
      <c r="R45" s="15"/>
      <c r="S45" s="33"/>
      <c r="W45" s="110" t="s">
        <v>89</v>
      </c>
      <c r="X45" s="99"/>
      <c r="Y45" s="53"/>
      <c r="Z45" s="41">
        <f t="shared" si="18"/>
        <v>0</v>
      </c>
      <c r="AA45" s="99"/>
      <c r="AB45" s="43">
        <f t="shared" si="20"/>
        <v>0</v>
      </c>
      <c r="AC45" s="42">
        <f t="shared" si="19"/>
        <v>0</v>
      </c>
      <c r="AD45" s="41">
        <f>SUM(X45)</f>
        <v>0</v>
      </c>
      <c r="AE45" s="99"/>
      <c r="AF45" s="102"/>
      <c r="AG45" s="100"/>
      <c r="AH45" s="101"/>
      <c r="AI45" s="99"/>
      <c r="AJ45" s="102"/>
      <c r="AK45" s="100"/>
      <c r="AL45" s="39"/>
      <c r="AM45" s="39"/>
      <c r="AN45" s="39"/>
      <c r="AO45" s="39"/>
      <c r="AP45" s="39"/>
      <c r="AQ45" s="39"/>
      <c r="AR45" s="39"/>
      <c r="AS45" s="39"/>
      <c r="AT45" s="39"/>
      <c r="AU45" s="39"/>
    </row>
    <row r="46" spans="1:47" ht="25.5" customHeight="1" x14ac:dyDescent="0.5">
      <c r="A46" s="12">
        <v>28</v>
      </c>
      <c r="B46" s="7" t="s">
        <v>90</v>
      </c>
      <c r="C46" s="20" t="s">
        <v>76</v>
      </c>
      <c r="D46" s="12">
        <v>1</v>
      </c>
      <c r="E46" s="12">
        <v>1</v>
      </c>
      <c r="F46" s="15">
        <f>20770*12</f>
        <v>249240</v>
      </c>
      <c r="G46" s="104" t="s">
        <v>37</v>
      </c>
      <c r="H46" s="55">
        <v>1</v>
      </c>
      <c r="I46" s="55">
        <v>1</v>
      </c>
      <c r="J46" s="104" t="s">
        <v>37</v>
      </c>
      <c r="K46" s="104" t="s">
        <v>37</v>
      </c>
      <c r="L46" s="104" t="s">
        <v>37</v>
      </c>
      <c r="M46" s="104">
        <f>730*12</f>
        <v>8760</v>
      </c>
      <c r="N46" s="193">
        <f>730*12</f>
        <v>8760</v>
      </c>
      <c r="O46" s="193">
        <f>750*12</f>
        <v>9000</v>
      </c>
      <c r="P46" s="104">
        <f>SUM(F46+M46)</f>
        <v>258000</v>
      </c>
      <c r="Q46" s="15">
        <f>SUM(F46+N46)</f>
        <v>258000</v>
      </c>
      <c r="R46" s="15">
        <f>SUM(F46+7)</f>
        <v>249247</v>
      </c>
      <c r="S46" s="120"/>
      <c r="W46" s="28" t="s">
        <v>90</v>
      </c>
      <c r="X46" s="101">
        <v>20770</v>
      </c>
      <c r="Y46" s="100">
        <f>SUM(X46*12)</f>
        <v>249240</v>
      </c>
      <c r="Z46" s="101">
        <f t="shared" si="18"/>
        <v>20770</v>
      </c>
      <c r="AA46" s="99">
        <v>21500</v>
      </c>
      <c r="AB46" s="102"/>
      <c r="AC46" s="100"/>
      <c r="AD46" s="101">
        <f>SUM(AA46)</f>
        <v>21500</v>
      </c>
      <c r="AE46" s="99">
        <v>21140</v>
      </c>
      <c r="AF46" s="102">
        <f>SUM(AE46-AD46)</f>
        <v>-360</v>
      </c>
      <c r="AG46" s="100">
        <f>SUM(AF46*12)</f>
        <v>-4320</v>
      </c>
      <c r="AH46" s="101">
        <f>SUM(AE46)</f>
        <v>21140</v>
      </c>
      <c r="AI46" s="99">
        <v>21880</v>
      </c>
      <c r="AJ46" s="102">
        <f>SUM(AI46-AH46)</f>
        <v>740</v>
      </c>
      <c r="AK46" s="100">
        <f>SUM(AJ46*12)</f>
        <v>8880</v>
      </c>
      <c r="AM46" s="54" t="s">
        <v>14</v>
      </c>
      <c r="AN46" s="208" t="s">
        <v>91</v>
      </c>
      <c r="AO46" s="208"/>
      <c r="AP46" s="208"/>
      <c r="AQ46" s="208"/>
      <c r="AR46" s="208"/>
      <c r="AS46" s="208"/>
      <c r="AT46" s="208"/>
      <c r="AU46" s="208"/>
    </row>
    <row r="47" spans="1:47" s="181" customFormat="1" ht="25.5" customHeight="1" x14ac:dyDescent="0.5">
      <c r="A47" s="187"/>
      <c r="B47" s="24"/>
      <c r="C47" s="188"/>
      <c r="D47" s="187"/>
      <c r="E47" s="187"/>
      <c r="F47" s="180"/>
      <c r="G47" s="103"/>
      <c r="H47" s="189"/>
      <c r="I47" s="189"/>
      <c r="J47" s="103"/>
      <c r="K47" s="103"/>
      <c r="L47" s="103"/>
      <c r="M47" s="103"/>
      <c r="N47" s="190"/>
      <c r="O47" s="190"/>
      <c r="P47" s="103"/>
      <c r="Q47" s="180"/>
      <c r="R47" s="180"/>
      <c r="S47" s="164"/>
      <c r="W47" s="24"/>
      <c r="X47" s="96"/>
      <c r="Y47" s="97"/>
      <c r="Z47" s="96"/>
      <c r="AA47" s="96"/>
      <c r="AB47" s="98"/>
      <c r="AC47" s="97"/>
      <c r="AD47" s="96"/>
      <c r="AE47" s="96"/>
      <c r="AF47" s="98"/>
      <c r="AG47" s="97"/>
      <c r="AH47" s="96"/>
      <c r="AI47" s="96"/>
      <c r="AJ47" s="98"/>
      <c r="AK47" s="97"/>
      <c r="AM47" s="191"/>
      <c r="AN47" s="192"/>
      <c r="AO47" s="192"/>
      <c r="AP47" s="192"/>
      <c r="AQ47" s="192"/>
      <c r="AR47" s="192"/>
      <c r="AS47" s="192"/>
      <c r="AT47" s="192"/>
      <c r="AU47" s="192"/>
    </row>
    <row r="48" spans="1:47" s="181" customFormat="1" ht="25.5" customHeight="1" x14ac:dyDescent="0.5">
      <c r="A48" s="187"/>
      <c r="B48" s="24"/>
      <c r="C48" s="188"/>
      <c r="D48" s="187"/>
      <c r="E48" s="187"/>
      <c r="F48" s="180"/>
      <c r="G48" s="103"/>
      <c r="H48" s="189"/>
      <c r="I48" s="189"/>
      <c r="J48" s="103"/>
      <c r="K48" s="103"/>
      <c r="L48" s="103"/>
      <c r="M48" s="103"/>
      <c r="N48" s="190"/>
      <c r="O48" s="190"/>
      <c r="P48" s="103"/>
      <c r="Q48" s="180"/>
      <c r="R48" s="180"/>
      <c r="S48" s="164"/>
      <c r="W48" s="24"/>
      <c r="X48" s="96"/>
      <c r="Y48" s="97"/>
      <c r="Z48" s="96"/>
      <c r="AA48" s="96"/>
      <c r="AB48" s="98"/>
      <c r="AC48" s="97"/>
      <c r="AD48" s="96"/>
      <c r="AE48" s="96"/>
      <c r="AF48" s="98"/>
      <c r="AG48" s="97"/>
      <c r="AH48" s="96"/>
      <c r="AI48" s="96"/>
      <c r="AJ48" s="98"/>
      <c r="AK48" s="97"/>
      <c r="AM48" s="191"/>
      <c r="AN48" s="192"/>
      <c r="AO48" s="192"/>
      <c r="AP48" s="192"/>
      <c r="AQ48" s="192"/>
      <c r="AR48" s="192"/>
      <c r="AS48" s="192"/>
      <c r="AT48" s="192"/>
      <c r="AU48" s="192"/>
    </row>
    <row r="49" spans="1:48" ht="25.5" customHeight="1" x14ac:dyDescent="0.5">
      <c r="A49" s="218" t="s">
        <v>5</v>
      </c>
      <c r="B49" s="221" t="s">
        <v>6</v>
      </c>
      <c r="C49" s="78" t="s">
        <v>7</v>
      </c>
      <c r="D49" s="199" t="s">
        <v>8</v>
      </c>
      <c r="E49" s="224" t="s">
        <v>67</v>
      </c>
      <c r="F49" s="224"/>
      <c r="G49" s="225" t="s">
        <v>68</v>
      </c>
      <c r="H49" s="225"/>
      <c r="I49" s="225"/>
      <c r="J49" s="226" t="s">
        <v>11</v>
      </c>
      <c r="K49" s="225"/>
      <c r="L49" s="225"/>
      <c r="M49" s="226" t="s">
        <v>69</v>
      </c>
      <c r="N49" s="225"/>
      <c r="O49" s="227"/>
      <c r="P49" s="225" t="s">
        <v>13</v>
      </c>
      <c r="Q49" s="225"/>
      <c r="R49" s="227"/>
      <c r="S49" s="79" t="s">
        <v>14</v>
      </c>
      <c r="W49" s="24"/>
      <c r="X49" s="96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M49" s="54"/>
      <c r="AN49" s="197"/>
      <c r="AO49" s="197"/>
      <c r="AP49" s="197"/>
      <c r="AQ49" s="197"/>
      <c r="AR49" s="197"/>
      <c r="AS49" s="197"/>
      <c r="AT49" s="197"/>
      <c r="AU49" s="197"/>
    </row>
    <row r="50" spans="1:48" ht="25.5" customHeight="1" x14ac:dyDescent="0.5">
      <c r="A50" s="219"/>
      <c r="B50" s="222"/>
      <c r="C50" s="83" t="s">
        <v>15</v>
      </c>
      <c r="D50" s="84" t="s">
        <v>20</v>
      </c>
      <c r="E50" s="198" t="s">
        <v>8</v>
      </c>
      <c r="F50" s="200" t="s">
        <v>16</v>
      </c>
      <c r="G50" s="228" t="s">
        <v>70</v>
      </c>
      <c r="H50" s="228"/>
      <c r="I50" s="228"/>
      <c r="J50" s="229" t="s">
        <v>22</v>
      </c>
      <c r="K50" s="228"/>
      <c r="L50" s="228"/>
      <c r="M50" s="202"/>
      <c r="N50" s="201"/>
      <c r="O50" s="85"/>
      <c r="P50" s="201"/>
      <c r="Q50" s="201"/>
      <c r="R50" s="85"/>
      <c r="S50" s="86"/>
      <c r="W50" s="24"/>
      <c r="X50" s="96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M50" s="54"/>
      <c r="AN50" s="197"/>
      <c r="AO50" s="197"/>
      <c r="AP50" s="197"/>
      <c r="AQ50" s="197"/>
      <c r="AR50" s="197"/>
      <c r="AS50" s="197"/>
      <c r="AT50" s="197"/>
      <c r="AU50" s="197"/>
    </row>
    <row r="51" spans="1:48" ht="25.5" customHeight="1" x14ac:dyDescent="0.5">
      <c r="A51" s="220"/>
      <c r="B51" s="223"/>
      <c r="C51" s="121"/>
      <c r="D51" s="201"/>
      <c r="E51" s="88" t="s">
        <v>24</v>
      </c>
      <c r="F51" s="89" t="s">
        <v>25</v>
      </c>
      <c r="G51" s="90">
        <v>2561</v>
      </c>
      <c r="H51" s="91">
        <v>2562</v>
      </c>
      <c r="I51" s="91">
        <v>2563</v>
      </c>
      <c r="J51" s="90">
        <v>2561</v>
      </c>
      <c r="K51" s="91">
        <v>2562</v>
      </c>
      <c r="L51" s="91">
        <v>2563</v>
      </c>
      <c r="M51" s="90">
        <v>2561</v>
      </c>
      <c r="N51" s="91">
        <v>2562</v>
      </c>
      <c r="O51" s="91">
        <v>2563</v>
      </c>
      <c r="P51" s="90">
        <v>2561</v>
      </c>
      <c r="Q51" s="91">
        <v>2562</v>
      </c>
      <c r="R51" s="91">
        <v>2563</v>
      </c>
      <c r="S51" s="92"/>
      <c r="W51" s="24"/>
      <c r="X51" s="96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M51" s="54"/>
      <c r="AN51" s="197"/>
      <c r="AO51" s="197"/>
      <c r="AP51" s="197"/>
      <c r="AQ51" s="197"/>
      <c r="AR51" s="197"/>
      <c r="AS51" s="197"/>
      <c r="AT51" s="197"/>
      <c r="AU51" s="197"/>
    </row>
    <row r="52" spans="1:48" ht="21" customHeight="1" x14ac:dyDescent="0.5">
      <c r="A52" s="12"/>
      <c r="B52" s="27" t="s">
        <v>92</v>
      </c>
      <c r="C52" s="26"/>
      <c r="D52" s="12"/>
      <c r="E52" s="12"/>
      <c r="F52" s="15"/>
      <c r="G52" s="20"/>
      <c r="H52" s="20"/>
      <c r="I52" s="12"/>
      <c r="J52" s="70"/>
      <c r="K52" s="70"/>
      <c r="L52" s="70"/>
      <c r="M52" s="69"/>
      <c r="N52" s="69"/>
      <c r="O52" s="69"/>
      <c r="P52" s="15"/>
      <c r="Q52" s="15"/>
      <c r="R52" s="15"/>
      <c r="S52" s="33"/>
      <c r="W52" s="111"/>
      <c r="AM52" s="53"/>
      <c r="AN52" s="208" t="s">
        <v>93</v>
      </c>
      <c r="AO52" s="208"/>
      <c r="AP52" s="208"/>
      <c r="AQ52" s="208"/>
      <c r="AR52" s="208"/>
      <c r="AS52" s="208"/>
      <c r="AT52" s="208"/>
      <c r="AU52" s="208"/>
    </row>
    <row r="53" spans="1:48" ht="23.25" customHeight="1" x14ac:dyDescent="0.5">
      <c r="A53" s="12"/>
      <c r="B53" s="64" t="s">
        <v>94</v>
      </c>
      <c r="C53" s="26"/>
      <c r="D53" s="12"/>
      <c r="E53" s="12"/>
      <c r="F53" s="15"/>
      <c r="G53" s="20"/>
      <c r="H53" s="20"/>
      <c r="I53" s="12"/>
      <c r="J53" s="70"/>
      <c r="K53" s="70"/>
      <c r="L53" s="70"/>
      <c r="M53" s="69"/>
      <c r="N53" s="69"/>
      <c r="O53" s="69"/>
      <c r="P53" s="15"/>
      <c r="Q53" s="15"/>
      <c r="R53" s="15"/>
      <c r="S53" s="33"/>
      <c r="W53" s="112"/>
      <c r="AM53" s="53"/>
      <c r="AN53" s="208" t="s">
        <v>95</v>
      </c>
      <c r="AO53" s="208"/>
      <c r="AP53" s="208"/>
      <c r="AQ53" s="208"/>
      <c r="AR53" s="208"/>
      <c r="AS53" s="208"/>
      <c r="AT53" s="208"/>
      <c r="AU53" s="208"/>
    </row>
    <row r="54" spans="1:48" ht="25.5" customHeight="1" x14ac:dyDescent="0.5">
      <c r="A54" s="12">
        <v>29</v>
      </c>
      <c r="B54" s="64" t="s">
        <v>96</v>
      </c>
      <c r="C54" s="77" t="s">
        <v>97</v>
      </c>
      <c r="D54" s="12">
        <v>1</v>
      </c>
      <c r="E54" s="12">
        <v>1</v>
      </c>
      <c r="F54" s="14">
        <v>0</v>
      </c>
      <c r="G54" s="55">
        <v>1</v>
      </c>
      <c r="H54" s="55">
        <v>1</v>
      </c>
      <c r="I54" s="55">
        <v>1</v>
      </c>
      <c r="J54" s="70" t="s">
        <v>37</v>
      </c>
      <c r="K54" s="70" t="s">
        <v>37</v>
      </c>
      <c r="L54" s="70" t="s">
        <v>37</v>
      </c>
      <c r="M54" s="70" t="s">
        <v>37</v>
      </c>
      <c r="N54" s="70" t="s">
        <v>62</v>
      </c>
      <c r="O54" s="70" t="s">
        <v>62</v>
      </c>
      <c r="P54" s="70" t="s">
        <v>37</v>
      </c>
      <c r="Q54" s="70" t="s">
        <v>62</v>
      </c>
      <c r="R54" s="70" t="s">
        <v>62</v>
      </c>
      <c r="S54" s="62" t="s">
        <v>98</v>
      </c>
      <c r="W54" s="112"/>
      <c r="AM54" s="39"/>
      <c r="AN54" s="39"/>
      <c r="AO54" s="39"/>
      <c r="AP54" s="39"/>
      <c r="AQ54" s="39"/>
      <c r="AR54" s="39"/>
      <c r="AS54" s="39"/>
      <c r="AT54" s="39"/>
      <c r="AU54" s="39"/>
    </row>
    <row r="55" spans="1:48" ht="25.5" customHeight="1" x14ac:dyDescent="0.5">
      <c r="A55" s="12">
        <v>30</v>
      </c>
      <c r="B55" s="7" t="s">
        <v>96</v>
      </c>
      <c r="C55" s="77" t="s">
        <v>97</v>
      </c>
      <c r="D55" s="12">
        <v>1</v>
      </c>
      <c r="E55" s="12">
        <v>1</v>
      </c>
      <c r="F55" s="14">
        <v>0</v>
      </c>
      <c r="G55" s="55">
        <v>1</v>
      </c>
      <c r="H55" s="55">
        <v>1</v>
      </c>
      <c r="I55" s="55">
        <v>1</v>
      </c>
      <c r="J55" s="70" t="s">
        <v>37</v>
      </c>
      <c r="K55" s="70" t="s">
        <v>37</v>
      </c>
      <c r="L55" s="70" t="s">
        <v>37</v>
      </c>
      <c r="M55" s="70" t="s">
        <v>37</v>
      </c>
      <c r="N55" s="70" t="s">
        <v>62</v>
      </c>
      <c r="O55" s="70" t="s">
        <v>62</v>
      </c>
      <c r="P55" s="70" t="s">
        <v>37</v>
      </c>
      <c r="Q55" s="70" t="s">
        <v>62</v>
      </c>
      <c r="R55" s="70" t="s">
        <v>62</v>
      </c>
      <c r="S55" s="62" t="s">
        <v>98</v>
      </c>
      <c r="W55" s="24"/>
      <c r="AM55" s="39"/>
      <c r="AN55" s="39"/>
      <c r="AO55" s="39"/>
      <c r="AP55" s="39"/>
      <c r="AQ55" s="39"/>
      <c r="AR55" s="39"/>
      <c r="AS55" s="39"/>
      <c r="AT55" s="39"/>
      <c r="AU55" s="39"/>
    </row>
    <row r="56" spans="1:48" ht="25.5" customHeight="1" x14ac:dyDescent="0.5">
      <c r="A56" s="12">
        <v>31</v>
      </c>
      <c r="B56" s="7" t="s">
        <v>96</v>
      </c>
      <c r="C56" s="77" t="s">
        <v>97</v>
      </c>
      <c r="D56" s="12">
        <v>1</v>
      </c>
      <c r="E56" s="12">
        <v>1</v>
      </c>
      <c r="F56" s="14">
        <v>0</v>
      </c>
      <c r="G56" s="55">
        <v>1</v>
      </c>
      <c r="H56" s="55">
        <v>1</v>
      </c>
      <c r="I56" s="55">
        <v>1</v>
      </c>
      <c r="J56" s="70" t="s">
        <v>37</v>
      </c>
      <c r="K56" s="70" t="s">
        <v>37</v>
      </c>
      <c r="L56" s="70" t="s">
        <v>37</v>
      </c>
      <c r="M56" s="183" t="s">
        <v>37</v>
      </c>
      <c r="N56" s="183" t="s">
        <v>62</v>
      </c>
      <c r="O56" s="183" t="s">
        <v>62</v>
      </c>
      <c r="P56" s="70" t="s">
        <v>37</v>
      </c>
      <c r="Q56" s="70" t="s">
        <v>62</v>
      </c>
      <c r="R56" s="70" t="s">
        <v>62</v>
      </c>
      <c r="S56" s="62" t="s">
        <v>98</v>
      </c>
      <c r="W56" s="24"/>
      <c r="AN56">
        <v>11440</v>
      </c>
      <c r="AO56" s="49">
        <f>SUM(AN56*4/100)</f>
        <v>457.6</v>
      </c>
      <c r="AP56" s="44">
        <v>460</v>
      </c>
      <c r="AQ56" s="50">
        <f>SUM(AN56+AP56)</f>
        <v>11900</v>
      </c>
      <c r="AR56" s="51">
        <f>SUM(AQ56*4/100)</f>
        <v>476</v>
      </c>
      <c r="AS56" s="44">
        <v>480</v>
      </c>
      <c r="AT56" s="50">
        <f>SUM(AQ56+AS56)</f>
        <v>12380</v>
      </c>
      <c r="AU56" s="51">
        <f>SUM(AT56*4/100)</f>
        <v>495.2</v>
      </c>
      <c r="AV56" s="44">
        <v>500</v>
      </c>
    </row>
    <row r="57" spans="1:48" ht="25.5" customHeight="1" x14ac:dyDescent="0.5">
      <c r="A57" s="12">
        <v>32</v>
      </c>
      <c r="B57" s="67" t="s">
        <v>99</v>
      </c>
      <c r="C57" s="77" t="s">
        <v>100</v>
      </c>
      <c r="D57" s="12">
        <v>1</v>
      </c>
      <c r="E57" s="12">
        <v>1</v>
      </c>
      <c r="F57" s="184">
        <f>(12880-9400)*12</f>
        <v>41760</v>
      </c>
      <c r="G57" s="70">
        <v>1</v>
      </c>
      <c r="H57" s="55">
        <v>1</v>
      </c>
      <c r="I57" s="55">
        <v>1</v>
      </c>
      <c r="J57" s="70" t="s">
        <v>37</v>
      </c>
      <c r="K57" s="70" t="s">
        <v>37</v>
      </c>
      <c r="L57" s="70" t="s">
        <v>37</v>
      </c>
      <c r="M57" s="184">
        <f>520*12</f>
        <v>6240</v>
      </c>
      <c r="N57" s="184">
        <f>540*12</f>
        <v>6480</v>
      </c>
      <c r="O57" s="184">
        <f>560*12</f>
        <v>6720</v>
      </c>
      <c r="P57" s="70">
        <f>SUM(M57,F57)</f>
        <v>48000</v>
      </c>
      <c r="Q57" s="183">
        <f>SUM(N57,F57)</f>
        <v>48240</v>
      </c>
      <c r="R57" s="183">
        <f>SUM(F57,O57)</f>
        <v>48480</v>
      </c>
      <c r="S57" s="62" t="s">
        <v>98</v>
      </c>
      <c r="W57" s="24"/>
      <c r="AO57" s="49"/>
      <c r="AP57" s="44"/>
      <c r="AQ57" s="50"/>
      <c r="AR57" s="51"/>
      <c r="AS57" s="44"/>
      <c r="AT57" s="50"/>
      <c r="AU57" s="51"/>
      <c r="AV57" s="44"/>
    </row>
    <row r="58" spans="1:48" ht="25.5" customHeight="1" x14ac:dyDescent="0.5">
      <c r="A58" s="12">
        <v>33</v>
      </c>
      <c r="B58" s="67" t="s">
        <v>99</v>
      </c>
      <c r="C58" s="77" t="s">
        <v>100</v>
      </c>
      <c r="D58" s="12">
        <v>1</v>
      </c>
      <c r="E58" s="12">
        <v>1</v>
      </c>
      <c r="F58" s="184">
        <f>(12870-9400)*12</f>
        <v>41640</v>
      </c>
      <c r="G58" s="70">
        <v>1</v>
      </c>
      <c r="H58" s="55">
        <v>1</v>
      </c>
      <c r="I58" s="55">
        <v>1</v>
      </c>
      <c r="J58" s="70" t="s">
        <v>37</v>
      </c>
      <c r="K58" s="70" t="s">
        <v>37</v>
      </c>
      <c r="L58" s="70" t="s">
        <v>37</v>
      </c>
      <c r="M58" s="184">
        <f>520*12</f>
        <v>6240</v>
      </c>
      <c r="N58" s="184">
        <f>540*12</f>
        <v>6480</v>
      </c>
      <c r="O58" s="184">
        <f>560*12</f>
        <v>6720</v>
      </c>
      <c r="P58" s="70">
        <f>SUM(M58,F58)</f>
        <v>47880</v>
      </c>
      <c r="Q58" s="183">
        <f>SUM(N58,F58)</f>
        <v>48120</v>
      </c>
      <c r="R58" s="183">
        <f>SUM(F58,O58)</f>
        <v>48360</v>
      </c>
      <c r="S58" s="62" t="s">
        <v>98</v>
      </c>
      <c r="W58" s="24"/>
      <c r="AO58" s="49"/>
      <c r="AP58" s="44"/>
      <c r="AQ58" s="50"/>
      <c r="AR58" s="51"/>
      <c r="AS58" s="44"/>
      <c r="AT58" s="50"/>
      <c r="AU58" s="51"/>
      <c r="AV58" s="44"/>
    </row>
    <row r="59" spans="1:48" ht="25.5" customHeight="1" x14ac:dyDescent="0.5">
      <c r="A59" s="12">
        <v>34</v>
      </c>
      <c r="B59" s="67" t="s">
        <v>99</v>
      </c>
      <c r="C59" s="77" t="s">
        <v>100</v>
      </c>
      <c r="D59" s="12">
        <v>1</v>
      </c>
      <c r="E59" s="12">
        <v>1</v>
      </c>
      <c r="F59" s="184">
        <f>(12770-9400)*12</f>
        <v>40440</v>
      </c>
      <c r="G59" s="70">
        <v>1</v>
      </c>
      <c r="H59" s="55">
        <v>1</v>
      </c>
      <c r="I59" s="55">
        <v>1</v>
      </c>
      <c r="J59" s="70" t="s">
        <v>37</v>
      </c>
      <c r="K59" s="70" t="s">
        <v>37</v>
      </c>
      <c r="L59" s="70" t="s">
        <v>37</v>
      </c>
      <c r="M59" s="184">
        <f>520*12</f>
        <v>6240</v>
      </c>
      <c r="N59" s="184">
        <f>530*12</f>
        <v>6360</v>
      </c>
      <c r="O59" s="184">
        <f>560*12</f>
        <v>6720</v>
      </c>
      <c r="P59" s="70">
        <f>SUM(M59,F59)</f>
        <v>46680</v>
      </c>
      <c r="Q59" s="183">
        <f>SUM(N59,F59)</f>
        <v>46800</v>
      </c>
      <c r="R59" s="183">
        <f>SUM(F59,O59)</f>
        <v>47160</v>
      </c>
      <c r="S59" s="62" t="s">
        <v>98</v>
      </c>
      <c r="W59" s="24"/>
      <c r="AO59" s="49"/>
      <c r="AP59" s="44"/>
      <c r="AQ59" s="50"/>
      <c r="AR59" s="51"/>
      <c r="AS59" s="44"/>
      <c r="AT59" s="50"/>
      <c r="AU59" s="51"/>
      <c r="AV59" s="44"/>
    </row>
    <row r="60" spans="1:48" ht="25.5" customHeight="1" x14ac:dyDescent="0.5">
      <c r="A60" s="12">
        <v>35</v>
      </c>
      <c r="B60" s="67" t="s">
        <v>99</v>
      </c>
      <c r="C60" s="77" t="s">
        <v>100</v>
      </c>
      <c r="D60" s="12">
        <v>1</v>
      </c>
      <c r="E60" s="12">
        <v>1</v>
      </c>
      <c r="F60" s="184">
        <f>(12740-9400)*12</f>
        <v>40080</v>
      </c>
      <c r="G60" s="70">
        <v>1</v>
      </c>
      <c r="H60" s="55">
        <v>1</v>
      </c>
      <c r="I60" s="55">
        <v>1</v>
      </c>
      <c r="J60" s="70" t="s">
        <v>37</v>
      </c>
      <c r="K60" s="70" t="s">
        <v>37</v>
      </c>
      <c r="L60" s="70" t="s">
        <v>37</v>
      </c>
      <c r="M60" s="184">
        <f>510*12</f>
        <v>6120</v>
      </c>
      <c r="N60" s="184">
        <f>540*12</f>
        <v>6480</v>
      </c>
      <c r="O60" s="184">
        <f>560*12</f>
        <v>6720</v>
      </c>
      <c r="P60" s="70">
        <f>SUM(M60,F60)</f>
        <v>46200</v>
      </c>
      <c r="Q60" s="183">
        <f>SUM(N60,F60)</f>
        <v>46560</v>
      </c>
      <c r="R60" s="183">
        <f>SUM(F60,O60)</f>
        <v>46800</v>
      </c>
      <c r="S60" s="62" t="s">
        <v>98</v>
      </c>
      <c r="W60" s="24"/>
      <c r="AO60" s="49"/>
      <c r="AP60" s="44"/>
      <c r="AQ60" s="50"/>
      <c r="AR60" s="51"/>
      <c r="AS60" s="44"/>
      <c r="AT60" s="50"/>
      <c r="AU60" s="51"/>
      <c r="AV60" s="44"/>
    </row>
    <row r="61" spans="1:48" ht="25.5" customHeight="1" x14ac:dyDescent="0.5">
      <c r="A61" s="12">
        <v>36</v>
      </c>
      <c r="B61" s="67" t="s">
        <v>99</v>
      </c>
      <c r="C61" s="77" t="s">
        <v>100</v>
      </c>
      <c r="D61" s="12">
        <v>1</v>
      </c>
      <c r="E61" s="12">
        <v>1</v>
      </c>
      <c r="F61" s="184">
        <f>(11500-9400)*12</f>
        <v>25200</v>
      </c>
      <c r="G61" s="70">
        <v>1</v>
      </c>
      <c r="H61" s="55">
        <v>1</v>
      </c>
      <c r="I61" s="55">
        <v>1</v>
      </c>
      <c r="J61" s="70" t="s">
        <v>37</v>
      </c>
      <c r="K61" s="70" t="s">
        <v>37</v>
      </c>
      <c r="L61" s="70" t="s">
        <v>37</v>
      </c>
      <c r="M61" s="184">
        <f>460*12</f>
        <v>5520</v>
      </c>
      <c r="N61" s="184">
        <f>480*12</f>
        <v>5760</v>
      </c>
      <c r="O61" s="184">
        <f>500*12</f>
        <v>6000</v>
      </c>
      <c r="P61" s="70">
        <f>SUM(M61,F61)</f>
        <v>30720</v>
      </c>
      <c r="Q61" s="183">
        <f>SUM(N61,F61)</f>
        <v>30960</v>
      </c>
      <c r="R61" s="183">
        <f>SUM(F61,O61)</f>
        <v>31200</v>
      </c>
      <c r="S61" s="62" t="s">
        <v>98</v>
      </c>
      <c r="W61" s="113"/>
      <c r="AN61">
        <v>11440</v>
      </c>
      <c r="AO61" s="49">
        <f>SUM(AN61*4/100)</f>
        <v>457.6</v>
      </c>
      <c r="AP61" s="44">
        <v>460</v>
      </c>
      <c r="AQ61" s="50">
        <f>SUM(AN61+AP61)</f>
        <v>11900</v>
      </c>
      <c r="AR61" s="51">
        <f>SUM(AQ61*4/100)</f>
        <v>476</v>
      </c>
      <c r="AS61" s="44">
        <v>480</v>
      </c>
      <c r="AT61" s="50">
        <f>SUM(AQ61+AS61)</f>
        <v>12380</v>
      </c>
      <c r="AU61" s="51">
        <f>SUM(AT61*4/100)</f>
        <v>495.2</v>
      </c>
      <c r="AV61" s="44">
        <v>500</v>
      </c>
    </row>
    <row r="62" spans="1:48" ht="25.5" customHeight="1" x14ac:dyDescent="0.5">
      <c r="A62" s="22" t="s">
        <v>101</v>
      </c>
      <c r="B62" s="68" t="s">
        <v>102</v>
      </c>
      <c r="C62" s="18"/>
      <c r="D62" s="17">
        <v>36</v>
      </c>
      <c r="E62" s="17">
        <v>35</v>
      </c>
      <c r="F62" s="20"/>
      <c r="G62" s="70" t="s">
        <v>62</v>
      </c>
      <c r="H62" s="18" t="s">
        <v>62</v>
      </c>
      <c r="I62" s="18" t="s">
        <v>37</v>
      </c>
      <c r="J62" s="70" t="s">
        <v>62</v>
      </c>
      <c r="K62" s="70" t="s">
        <v>37</v>
      </c>
      <c r="L62" s="70" t="s">
        <v>37</v>
      </c>
      <c r="M62" s="18" t="s">
        <v>37</v>
      </c>
      <c r="N62" s="18" t="s">
        <v>62</v>
      </c>
      <c r="O62" s="18" t="s">
        <v>37</v>
      </c>
      <c r="P62" s="15">
        <f>SUM(P57:P61,P46,P44,P31:P42,P26,P8:P24)</f>
        <v>7666020</v>
      </c>
      <c r="Q62" s="15">
        <f>SUM(Q57:Q61,Q46,Q44,Q31:Q42,Q26,Q8:Q24)</f>
        <v>7671420</v>
      </c>
      <c r="R62" s="15">
        <f>SUM(R57:R61,R46,R44,R31:R42,R26,R8:R24)</f>
        <v>7416362</v>
      </c>
      <c r="S62" s="62"/>
      <c r="U62">
        <v>817320</v>
      </c>
      <c r="W62" s="53"/>
      <c r="X62" s="208" t="s">
        <v>103</v>
      </c>
      <c r="Y62" s="208"/>
      <c r="Z62" s="208"/>
      <c r="AA62" s="208"/>
      <c r="AB62" s="208"/>
      <c r="AC62" s="208"/>
      <c r="AD62" s="208"/>
      <c r="AE62" s="208"/>
      <c r="AF62" s="208"/>
      <c r="AG62" s="208"/>
      <c r="AH62" s="208"/>
      <c r="AI62" s="208"/>
      <c r="AJ62" s="208"/>
      <c r="AK62" s="208"/>
      <c r="AM62" s="39"/>
      <c r="AN62" s="39">
        <v>11330</v>
      </c>
      <c r="AO62" s="49">
        <f>SUM(AN62*4/100)</f>
        <v>453.2</v>
      </c>
      <c r="AP62" s="44">
        <v>460</v>
      </c>
      <c r="AQ62" s="50">
        <f>SUM(AN62+AP62)</f>
        <v>11790</v>
      </c>
      <c r="AR62" s="51">
        <f>SUM(AQ62*4/100)</f>
        <v>471.6</v>
      </c>
      <c r="AS62" s="44">
        <v>480</v>
      </c>
      <c r="AT62" s="50">
        <f>SUM(AQ62+AS62)</f>
        <v>12270</v>
      </c>
      <c r="AU62" s="51">
        <f>SUM(AT62*4/100)</f>
        <v>490.8</v>
      </c>
      <c r="AV62" s="44">
        <v>500</v>
      </c>
    </row>
    <row r="63" spans="1:48" ht="25.5" customHeight="1" x14ac:dyDescent="0.5">
      <c r="A63" s="30" t="s">
        <v>104</v>
      </c>
      <c r="B63" s="119" t="s">
        <v>105</v>
      </c>
      <c r="C63" s="20"/>
      <c r="D63" s="12"/>
      <c r="E63" s="12"/>
      <c r="F63" s="7"/>
      <c r="G63" s="7"/>
      <c r="H63" s="7"/>
      <c r="I63" s="7"/>
      <c r="J63" s="7"/>
      <c r="K63" s="7"/>
      <c r="L63" s="7"/>
      <c r="M63" s="7"/>
      <c r="N63" s="7"/>
      <c r="O63" s="7"/>
      <c r="P63" s="15">
        <f>SUM(P62*20/100)</f>
        <v>1533204</v>
      </c>
      <c r="Q63" s="15">
        <f>SUM(Q62*20/100)</f>
        <v>1534284</v>
      </c>
      <c r="R63" s="15">
        <f>SUM(R62*20/100)</f>
        <v>1483272.4</v>
      </c>
      <c r="S63" s="33"/>
      <c r="U63">
        <v>108000</v>
      </c>
      <c r="W63" s="53"/>
      <c r="X63" s="208" t="s">
        <v>106</v>
      </c>
      <c r="Y63" s="208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M63" s="39"/>
      <c r="AN63" s="39">
        <v>11330</v>
      </c>
      <c r="AO63" s="49">
        <f>SUM(AN63*4/100)</f>
        <v>453.2</v>
      </c>
      <c r="AP63" s="44">
        <v>460</v>
      </c>
      <c r="AQ63" s="50">
        <f>SUM(AN63+AP63)</f>
        <v>11790</v>
      </c>
      <c r="AR63" s="51">
        <f>SUM(AQ63*4/100)</f>
        <v>471.6</v>
      </c>
      <c r="AS63" s="44">
        <v>480</v>
      </c>
      <c r="AT63" s="50">
        <f>SUM(AQ63+AS63)</f>
        <v>12270</v>
      </c>
      <c r="AU63" s="51">
        <f>SUM(AT63*4/100)</f>
        <v>490.8</v>
      </c>
      <c r="AV63" s="44">
        <v>500</v>
      </c>
    </row>
    <row r="64" spans="1:48" ht="25.5" customHeight="1" x14ac:dyDescent="0.5">
      <c r="A64" s="30" t="s">
        <v>107</v>
      </c>
      <c r="B64" s="76" t="s">
        <v>108</v>
      </c>
      <c r="C64" s="20"/>
      <c r="D64" s="12"/>
      <c r="E64" s="12"/>
      <c r="F64" s="7"/>
      <c r="G64" s="7"/>
      <c r="H64" s="7"/>
      <c r="I64" s="7"/>
      <c r="J64" s="7"/>
      <c r="K64" s="7"/>
      <c r="L64" s="7"/>
      <c r="M64" s="7"/>
      <c r="N64" s="12"/>
      <c r="O64" s="7"/>
      <c r="P64" s="15">
        <f>SUM(P62:P63)</f>
        <v>9199224</v>
      </c>
      <c r="Q64" s="15">
        <f>SUM(Q62:Q63)</f>
        <v>9205704</v>
      </c>
      <c r="R64" s="15">
        <f>SUM(R62:R63)</f>
        <v>8899634.4000000004</v>
      </c>
      <c r="S64" s="33"/>
      <c r="U64">
        <v>164940</v>
      </c>
      <c r="W64" s="53"/>
      <c r="X64" s="208" t="s">
        <v>109</v>
      </c>
      <c r="Y64" s="208"/>
      <c r="Z64" s="208"/>
      <c r="AA64" s="208"/>
      <c r="AB64" s="208"/>
      <c r="AC64" s="208"/>
      <c r="AD64" s="208"/>
      <c r="AE64" s="208"/>
      <c r="AF64" s="208"/>
      <c r="AG64" s="208"/>
      <c r="AH64" s="208"/>
      <c r="AI64" s="208"/>
      <c r="AJ64" s="208"/>
      <c r="AK64" s="208"/>
      <c r="AM64" s="39"/>
      <c r="AN64" s="39">
        <v>10220</v>
      </c>
      <c r="AO64" s="49">
        <f>SUM(AN64*4/100)</f>
        <v>408.8</v>
      </c>
      <c r="AP64" s="44">
        <v>410</v>
      </c>
      <c r="AQ64" s="50">
        <f>SUM(AN64+AP64)</f>
        <v>10630</v>
      </c>
      <c r="AR64" s="51">
        <f>SUM(AQ64*4/100)</f>
        <v>425.2</v>
      </c>
      <c r="AS64" s="44">
        <v>430</v>
      </c>
      <c r="AT64" s="50">
        <f>SUM(AQ64+AS64)</f>
        <v>11060</v>
      </c>
      <c r="AU64" s="51">
        <f>SUM(AT64*4/100)</f>
        <v>442.4</v>
      </c>
      <c r="AV64" s="44">
        <v>450</v>
      </c>
    </row>
    <row r="65" spans="1:48" ht="25.5" customHeight="1" x14ac:dyDescent="0.5">
      <c r="A65" s="75" t="s">
        <v>110</v>
      </c>
      <c r="B65" s="76" t="s">
        <v>111</v>
      </c>
      <c r="C65" s="19"/>
      <c r="D65" s="12"/>
      <c r="E65" s="12"/>
      <c r="F65" s="7"/>
      <c r="G65" s="7"/>
      <c r="H65" s="7"/>
      <c r="I65" s="7"/>
      <c r="J65" s="7"/>
      <c r="K65" s="7"/>
      <c r="L65" s="7"/>
      <c r="M65" s="7"/>
      <c r="N65" s="12"/>
      <c r="O65" s="7"/>
      <c r="P65" s="109">
        <f>SUM(P64)/36259230*100</f>
        <v>25.370709747559449</v>
      </c>
      <c r="Q65" s="109">
        <f>SUM(Q64)/38072192*100</f>
        <v>24.179600691234167</v>
      </c>
      <c r="R65" s="109">
        <f>SUM(R64)*100/41721963</f>
        <v>21.330814180531245</v>
      </c>
      <c r="S65" s="33"/>
      <c r="U65">
        <f>SUM(U61:U64)</f>
        <v>1090260</v>
      </c>
      <c r="W65" s="53"/>
      <c r="X65" s="208" t="s">
        <v>112</v>
      </c>
      <c r="Y65" s="208"/>
      <c r="Z65" s="208"/>
      <c r="AA65" s="208"/>
      <c r="AB65" s="208"/>
      <c r="AC65" s="208"/>
      <c r="AD65" s="208"/>
      <c r="AE65" s="208"/>
      <c r="AF65" s="208"/>
      <c r="AG65" s="208"/>
      <c r="AH65" s="208"/>
      <c r="AI65" s="208"/>
      <c r="AJ65" s="208"/>
      <c r="AK65" s="208"/>
      <c r="AL65" s="208"/>
      <c r="AP65" s="115">
        <f>SUM(AP56:AP64)</f>
        <v>2250</v>
      </c>
      <c r="AQ65" s="115"/>
      <c r="AR65" s="115"/>
      <c r="AS65" s="115">
        <f>SUM(AS56:AS64)</f>
        <v>2350</v>
      </c>
      <c r="AT65" s="115"/>
      <c r="AU65" s="115"/>
      <c r="AV65" s="115">
        <f>SUM(AV56:AV64)</f>
        <v>2450</v>
      </c>
    </row>
    <row r="66" spans="1:48" ht="21.75" customHeight="1" x14ac:dyDescent="0.5">
      <c r="A66" s="23"/>
      <c r="B66" s="29" t="s">
        <v>113</v>
      </c>
      <c r="C66" s="19"/>
      <c r="D66" s="12"/>
      <c r="E66" s="12"/>
      <c r="F66" s="7"/>
      <c r="G66" s="7"/>
      <c r="H66" s="7"/>
      <c r="I66" s="7"/>
      <c r="J66" s="7"/>
      <c r="K66" s="7"/>
      <c r="L66" s="7"/>
      <c r="M66" s="7"/>
      <c r="N66" s="7"/>
      <c r="O66" s="7"/>
      <c r="P66" s="15"/>
      <c r="Q66" s="15"/>
      <c r="R66" s="15"/>
      <c r="S66" s="33"/>
      <c r="W66" s="53"/>
      <c r="X66" s="208" t="s">
        <v>114</v>
      </c>
      <c r="Y66" s="208"/>
      <c r="Z66" s="208"/>
      <c r="AA66" s="208"/>
      <c r="AB66" s="208"/>
      <c r="AC66" s="208"/>
      <c r="AD66" s="208"/>
      <c r="AE66" s="208"/>
      <c r="AF66" s="208"/>
      <c r="AG66" s="208"/>
      <c r="AH66" s="208"/>
      <c r="AI66" s="208"/>
      <c r="AJ66" s="208"/>
      <c r="AK66" s="208"/>
      <c r="AL66" s="39"/>
      <c r="AP66" s="116">
        <f>SUM(AP65*12)</f>
        <v>27000</v>
      </c>
      <c r="AS66" s="116">
        <f>SUM(AS65*12)</f>
        <v>28200</v>
      </c>
      <c r="AV66" s="116">
        <f>SUM(AV65*12)</f>
        <v>29400</v>
      </c>
    </row>
    <row r="67" spans="1:48" ht="21.75" customHeight="1" x14ac:dyDescent="0.5">
      <c r="A67" s="188"/>
      <c r="B67" s="24"/>
      <c r="C67" s="188"/>
      <c r="D67" s="187"/>
      <c r="E67" s="187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180"/>
      <c r="Q67" s="180"/>
      <c r="R67" s="180"/>
      <c r="S67" s="181"/>
      <c r="W67" s="53"/>
      <c r="X67" s="197"/>
      <c r="Y67" s="197"/>
      <c r="Z67" s="197"/>
      <c r="AA67" s="197"/>
      <c r="AB67" s="197"/>
      <c r="AC67" s="197"/>
      <c r="AD67" s="197"/>
      <c r="AE67" s="197"/>
      <c r="AF67" s="197"/>
      <c r="AG67" s="197"/>
      <c r="AH67" s="197"/>
      <c r="AI67" s="197"/>
      <c r="AJ67" s="197"/>
      <c r="AK67" s="197"/>
      <c r="AL67" s="39"/>
      <c r="AP67" s="116"/>
      <c r="AS67" s="116"/>
      <c r="AV67" s="116"/>
    </row>
    <row r="68" spans="1:48" ht="21.75" customHeight="1" x14ac:dyDescent="0.5">
      <c r="A68" s="188"/>
      <c r="B68" s="24"/>
      <c r="C68" s="188"/>
      <c r="D68" s="187"/>
      <c r="E68" s="187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180"/>
      <c r="Q68" s="180"/>
      <c r="R68" s="180"/>
      <c r="S68" s="181"/>
      <c r="W68" s="53"/>
      <c r="X68" s="197"/>
      <c r="Y68" s="197"/>
      <c r="Z68" s="197"/>
      <c r="AA68" s="197"/>
      <c r="AB68" s="197"/>
      <c r="AC68" s="197"/>
      <c r="AD68" s="197"/>
      <c r="AE68" s="197"/>
      <c r="AF68" s="197"/>
      <c r="AG68" s="197"/>
      <c r="AH68" s="197"/>
      <c r="AI68" s="197"/>
      <c r="AJ68" s="197"/>
      <c r="AK68" s="197"/>
      <c r="AL68" s="39"/>
      <c r="AP68" s="116"/>
      <c r="AS68" s="116"/>
      <c r="AV68" s="116"/>
    </row>
    <row r="69" spans="1:48" ht="21.75" customHeight="1" x14ac:dyDescent="0.5">
      <c r="A69" s="188"/>
      <c r="B69" s="24"/>
      <c r="C69" s="188"/>
      <c r="D69" s="187"/>
      <c r="E69" s="187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180"/>
      <c r="Q69" s="180"/>
      <c r="R69" s="180"/>
      <c r="S69" s="181"/>
      <c r="W69" s="53"/>
      <c r="X69" s="197"/>
      <c r="Y69" s="197"/>
      <c r="Z69" s="197"/>
      <c r="AA69" s="197"/>
      <c r="AB69" s="197"/>
      <c r="AC69" s="197"/>
      <c r="AD69" s="197"/>
      <c r="AE69" s="197"/>
      <c r="AF69" s="197"/>
      <c r="AG69" s="197"/>
      <c r="AH69" s="197"/>
      <c r="AI69" s="197"/>
      <c r="AJ69" s="197"/>
      <c r="AK69" s="197"/>
      <c r="AL69" s="39"/>
      <c r="AP69" s="116"/>
      <c r="AS69" s="116"/>
      <c r="AV69" s="116"/>
    </row>
    <row r="70" spans="1:48" ht="21.75" customHeight="1" x14ac:dyDescent="0.5">
      <c r="A70" s="188"/>
      <c r="B70" s="24"/>
      <c r="C70" s="188"/>
      <c r="D70" s="187"/>
      <c r="E70" s="187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180"/>
      <c r="Q70" s="180"/>
      <c r="R70" s="180"/>
      <c r="S70" s="181"/>
      <c r="W70" s="53"/>
      <c r="X70" s="197"/>
      <c r="Y70" s="197"/>
      <c r="Z70" s="197"/>
      <c r="AA70" s="197"/>
      <c r="AB70" s="197"/>
      <c r="AC70" s="197"/>
      <c r="AD70" s="197"/>
      <c r="AE70" s="197"/>
      <c r="AF70" s="197"/>
      <c r="AG70" s="197"/>
      <c r="AH70" s="197"/>
      <c r="AI70" s="197"/>
      <c r="AJ70" s="197"/>
      <c r="AK70" s="197"/>
      <c r="AL70" s="39"/>
      <c r="AP70" s="116"/>
      <c r="AS70" s="116"/>
      <c r="AV70" s="116"/>
    </row>
    <row r="71" spans="1:48" ht="21.75" customHeight="1" x14ac:dyDescent="0.5">
      <c r="A71" s="188"/>
      <c r="B71" s="24"/>
      <c r="C71" s="188"/>
      <c r="D71" s="187"/>
      <c r="E71" s="187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180"/>
      <c r="Q71" s="180"/>
      <c r="R71" s="180"/>
      <c r="S71" s="181"/>
      <c r="W71" s="53"/>
      <c r="X71" s="197"/>
      <c r="Y71" s="197"/>
      <c r="Z71" s="197"/>
      <c r="AA71" s="197"/>
      <c r="AB71" s="197"/>
      <c r="AC71" s="197"/>
      <c r="AD71" s="197"/>
      <c r="AE71" s="197"/>
      <c r="AF71" s="197"/>
      <c r="AG71" s="197"/>
      <c r="AH71" s="197"/>
      <c r="AI71" s="197"/>
      <c r="AJ71" s="197"/>
      <c r="AK71" s="197"/>
      <c r="AL71" s="39"/>
      <c r="AP71" s="116"/>
      <c r="AS71" s="116"/>
      <c r="AV71" s="116"/>
    </row>
    <row r="72" spans="1:48" ht="21.75" customHeight="1" x14ac:dyDescent="0.5">
      <c r="A72" s="188"/>
      <c r="B72" s="24"/>
      <c r="C72" s="188"/>
      <c r="D72" s="187"/>
      <c r="E72" s="187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180"/>
      <c r="Q72" s="180"/>
      <c r="R72" s="180"/>
      <c r="S72" s="181"/>
      <c r="W72" s="53"/>
      <c r="X72" s="197"/>
      <c r="Y72" s="197"/>
      <c r="Z72" s="197"/>
      <c r="AA72" s="197"/>
      <c r="AB72" s="197"/>
      <c r="AC72" s="197"/>
      <c r="AD72" s="197"/>
      <c r="AE72" s="197"/>
      <c r="AF72" s="197"/>
      <c r="AG72" s="197"/>
      <c r="AH72" s="197"/>
      <c r="AI72" s="197"/>
      <c r="AJ72" s="197"/>
      <c r="AK72" s="197"/>
      <c r="AL72" s="39"/>
      <c r="AP72" s="116"/>
      <c r="AS72" s="116"/>
      <c r="AV72" s="116"/>
    </row>
    <row r="73" spans="1:48" ht="30" customHeight="1" x14ac:dyDescent="0.5">
      <c r="A73" s="9" t="s">
        <v>14</v>
      </c>
      <c r="B73" s="10"/>
      <c r="C73" s="5"/>
      <c r="D73" s="196"/>
      <c r="E73" s="196"/>
      <c r="F73" s="4"/>
      <c r="G73" s="4"/>
      <c r="H73" s="24"/>
      <c r="I73" s="24"/>
      <c r="J73" s="24"/>
      <c r="K73" s="24"/>
      <c r="L73" s="24"/>
      <c r="M73" s="24"/>
      <c r="N73" s="24"/>
      <c r="O73" s="24"/>
      <c r="P73" s="180"/>
      <c r="Q73" s="180"/>
      <c r="R73" s="180"/>
      <c r="S73" s="181"/>
      <c r="W73" s="53"/>
      <c r="X73" s="197"/>
      <c r="Y73" s="197"/>
      <c r="Z73" s="197"/>
      <c r="AA73" s="197"/>
      <c r="AB73" s="197"/>
      <c r="AC73" s="197"/>
      <c r="AD73" s="197"/>
      <c r="AE73" s="197"/>
      <c r="AF73" s="197"/>
      <c r="AG73" s="197"/>
      <c r="AH73" s="197"/>
      <c r="AI73" s="197"/>
      <c r="AJ73" s="197"/>
      <c r="AK73" s="197"/>
      <c r="AL73" s="39"/>
      <c r="AP73" s="116"/>
      <c r="AS73" s="116"/>
      <c r="AV73" s="116"/>
    </row>
    <row r="74" spans="1:48" ht="25.5" customHeight="1" x14ac:dyDescent="0.5">
      <c r="A74" s="25" t="s">
        <v>115</v>
      </c>
      <c r="B74" s="10"/>
      <c r="C74" s="5"/>
      <c r="D74" s="196"/>
      <c r="E74" s="196"/>
      <c r="F74" s="4"/>
      <c r="G74" s="4"/>
      <c r="H74" s="24"/>
      <c r="I74" s="209" t="s">
        <v>116</v>
      </c>
      <c r="J74" s="210"/>
      <c r="K74" s="210"/>
      <c r="L74" s="210"/>
      <c r="M74" s="210"/>
      <c r="N74" s="210"/>
      <c r="O74" s="210"/>
      <c r="P74" s="210"/>
      <c r="Q74" s="210"/>
      <c r="R74" s="211"/>
      <c r="S74" s="181"/>
      <c r="W74" s="53"/>
      <c r="X74" s="197"/>
      <c r="Y74" s="197"/>
      <c r="Z74" s="197"/>
      <c r="AA74" s="197"/>
      <c r="AB74" s="197"/>
      <c r="AC74" s="197"/>
      <c r="AD74" s="197"/>
      <c r="AE74" s="197"/>
      <c r="AF74" s="197"/>
      <c r="AG74" s="197"/>
      <c r="AH74" s="197"/>
      <c r="AI74" s="197"/>
      <c r="AJ74" s="197"/>
      <c r="AK74" s="197"/>
      <c r="AL74" s="39"/>
      <c r="AP74" s="116"/>
      <c r="AS74" s="116"/>
      <c r="AV74" s="116"/>
    </row>
    <row r="75" spans="1:48" ht="25.5" customHeight="1" x14ac:dyDescent="0.5">
      <c r="A75" s="25" t="s">
        <v>117</v>
      </c>
      <c r="B75" s="11"/>
      <c r="C75" s="5"/>
      <c r="D75" s="196"/>
      <c r="E75" s="196"/>
      <c r="F75" s="4"/>
      <c r="G75" s="4"/>
      <c r="H75" s="24"/>
      <c r="I75" s="212" t="s">
        <v>118</v>
      </c>
      <c r="J75" s="203"/>
      <c r="K75" s="203"/>
      <c r="L75" s="203"/>
      <c r="M75" s="203"/>
      <c r="N75" s="203"/>
      <c r="O75" s="203"/>
      <c r="P75" s="203"/>
      <c r="Q75" s="203"/>
      <c r="R75" s="213"/>
      <c r="S75" s="181"/>
      <c r="W75" s="53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39"/>
      <c r="AP75" s="116"/>
      <c r="AS75" s="116"/>
      <c r="AV75" s="116"/>
    </row>
    <row r="76" spans="1:48" ht="25.5" customHeight="1" x14ac:dyDescent="0.5">
      <c r="A76" s="25" t="s">
        <v>119</v>
      </c>
      <c r="B76" s="11"/>
      <c r="C76" s="5"/>
      <c r="D76" s="196"/>
      <c r="E76" s="196"/>
      <c r="F76" s="4"/>
      <c r="G76" s="4"/>
      <c r="H76" s="24"/>
      <c r="I76" s="212" t="s">
        <v>120</v>
      </c>
      <c r="J76" s="203"/>
      <c r="K76" s="203"/>
      <c r="L76" s="203"/>
      <c r="M76" s="203"/>
      <c r="N76" s="203"/>
      <c r="O76" s="203"/>
      <c r="P76" s="203"/>
      <c r="Q76" s="203"/>
      <c r="R76" s="213"/>
      <c r="S76" s="181"/>
      <c r="W76" s="53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97"/>
      <c r="AL76" s="39"/>
      <c r="AP76" s="116"/>
      <c r="AS76" s="116"/>
      <c r="AV76" s="116"/>
    </row>
    <row r="77" spans="1:48" ht="25.5" customHeight="1" x14ac:dyDescent="0.5">
      <c r="A77" s="25" t="s">
        <v>121</v>
      </c>
      <c r="B77" s="11"/>
      <c r="C77" s="5"/>
      <c r="D77" s="196"/>
      <c r="E77" s="196"/>
      <c r="F77" s="4"/>
      <c r="G77" s="72"/>
      <c r="H77" s="24"/>
      <c r="I77" s="212" t="s">
        <v>122</v>
      </c>
      <c r="J77" s="203"/>
      <c r="K77" s="203"/>
      <c r="L77" s="203"/>
      <c r="M77" s="203"/>
      <c r="N77" s="203"/>
      <c r="O77" s="203"/>
      <c r="P77" s="203"/>
      <c r="Q77" s="203"/>
      <c r="R77" s="213"/>
      <c r="S77" s="181"/>
      <c r="W77" s="53"/>
      <c r="X77" s="197"/>
      <c r="Y77" s="197"/>
      <c r="Z77" s="197"/>
      <c r="AA77" s="197"/>
      <c r="AB77" s="197"/>
      <c r="AC77" s="197"/>
      <c r="AD77" s="197"/>
      <c r="AE77" s="197"/>
      <c r="AF77" s="197"/>
      <c r="AG77" s="197"/>
      <c r="AH77" s="197"/>
      <c r="AI77" s="197"/>
      <c r="AJ77" s="197"/>
      <c r="AK77" s="197"/>
      <c r="AL77" s="39"/>
      <c r="AP77" s="116"/>
      <c r="AS77" s="116"/>
      <c r="AV77" s="116"/>
    </row>
    <row r="78" spans="1:48" ht="25.5" customHeight="1" x14ac:dyDescent="0.5">
      <c r="A78" s="25" t="s">
        <v>123</v>
      </c>
      <c r="B78" s="10"/>
      <c r="C78" s="5"/>
      <c r="D78" s="196"/>
      <c r="E78" s="196"/>
      <c r="F78" s="4"/>
      <c r="G78" s="4"/>
      <c r="H78" s="24"/>
      <c r="I78" s="212" t="s">
        <v>124</v>
      </c>
      <c r="J78" s="203"/>
      <c r="K78" s="203"/>
      <c r="L78" s="203"/>
      <c r="M78" s="203"/>
      <c r="N78" s="203"/>
      <c r="O78" s="203"/>
      <c r="P78" s="203"/>
      <c r="Q78" s="203"/>
      <c r="R78" s="213"/>
      <c r="S78" s="181"/>
      <c r="W78" s="53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  <c r="AI78" s="197"/>
      <c r="AJ78" s="197"/>
      <c r="AK78" s="197"/>
      <c r="AL78" s="39"/>
      <c r="AP78" s="116"/>
      <c r="AS78" s="116"/>
      <c r="AV78" s="116"/>
    </row>
    <row r="79" spans="1:48" ht="25.5" customHeight="1" x14ac:dyDescent="0.5">
      <c r="A79" s="25" t="s">
        <v>125</v>
      </c>
      <c r="B79" s="10"/>
      <c r="C79" s="5"/>
      <c r="D79" s="196"/>
      <c r="E79" s="196"/>
      <c r="F79" s="4"/>
      <c r="G79" s="4"/>
      <c r="H79" s="24"/>
      <c r="I79" s="214" t="s">
        <v>126</v>
      </c>
      <c r="J79" s="215"/>
      <c r="K79" s="215"/>
      <c r="L79" s="215"/>
      <c r="M79" s="215"/>
      <c r="N79" s="215"/>
      <c r="O79" s="215"/>
      <c r="P79" s="215"/>
      <c r="Q79" s="215"/>
      <c r="R79" s="216"/>
      <c r="S79" s="181"/>
      <c r="W79" s="53"/>
      <c r="X79" s="197"/>
      <c r="Y79" s="197"/>
      <c r="Z79" s="197"/>
      <c r="AA79" s="197"/>
      <c r="AB79" s="197"/>
      <c r="AC79" s="197"/>
      <c r="AD79" s="197"/>
      <c r="AE79" s="197"/>
      <c r="AF79" s="197"/>
      <c r="AG79" s="197"/>
      <c r="AH79" s="197"/>
      <c r="AI79" s="197"/>
      <c r="AJ79" s="197"/>
      <c r="AK79" s="197"/>
      <c r="AL79" s="39"/>
      <c r="AP79" s="116"/>
      <c r="AS79" s="116"/>
      <c r="AV79" s="116"/>
    </row>
    <row r="80" spans="1:48" ht="25.5" customHeight="1" x14ac:dyDescent="0.5">
      <c r="A80" s="25" t="s">
        <v>127</v>
      </c>
      <c r="B80" s="10"/>
      <c r="C80" s="5"/>
      <c r="D80" s="196"/>
      <c r="E80" s="196"/>
      <c r="F80" s="4"/>
      <c r="G80" s="4"/>
      <c r="H80" s="24"/>
      <c r="I80" s="203"/>
      <c r="J80" s="203"/>
      <c r="K80" s="203"/>
      <c r="L80" s="203"/>
      <c r="M80" s="203"/>
      <c r="N80" s="203"/>
      <c r="O80" s="203"/>
      <c r="P80" s="203"/>
      <c r="Q80" s="203"/>
      <c r="R80" s="203"/>
      <c r="S80" s="181"/>
      <c r="W80" s="53"/>
      <c r="X80" s="197"/>
      <c r="Y80" s="197"/>
      <c r="Z80" s="197"/>
      <c r="AA80" s="197"/>
      <c r="AB80" s="197"/>
      <c r="AC80" s="197"/>
      <c r="AD80" s="197"/>
      <c r="AE80" s="197"/>
      <c r="AF80" s="197"/>
      <c r="AG80" s="197"/>
      <c r="AH80" s="197"/>
      <c r="AI80" s="197"/>
      <c r="AJ80" s="197"/>
      <c r="AK80" s="197"/>
      <c r="AL80" s="39"/>
      <c r="AP80" s="116"/>
      <c r="AS80" s="116"/>
      <c r="AV80" s="116"/>
    </row>
    <row r="81" spans="1:48" ht="25.5" customHeight="1" x14ac:dyDescent="0.5">
      <c r="A81" s="25" t="s">
        <v>128</v>
      </c>
      <c r="B81" s="10"/>
      <c r="C81" s="5"/>
      <c r="D81" s="196"/>
      <c r="E81" s="196"/>
      <c r="F81" s="4"/>
      <c r="G81" s="4"/>
      <c r="H81" s="24"/>
      <c r="I81" s="203"/>
      <c r="J81" s="203"/>
      <c r="K81" s="203"/>
      <c r="L81" s="203"/>
      <c r="M81" s="203"/>
      <c r="N81" s="203"/>
      <c r="O81" s="203"/>
      <c r="P81" s="203"/>
      <c r="Q81" s="203"/>
      <c r="R81" s="203"/>
      <c r="S81" s="181"/>
      <c r="W81" s="53"/>
      <c r="X81" s="197"/>
      <c r="Y81" s="197"/>
      <c r="Z81" s="197"/>
      <c r="AA81" s="197"/>
      <c r="AB81" s="197"/>
      <c r="AC81" s="197"/>
      <c r="AD81" s="197"/>
      <c r="AE81" s="197"/>
      <c r="AF81" s="197"/>
      <c r="AG81" s="197"/>
      <c r="AH81" s="197"/>
      <c r="AI81" s="197"/>
      <c r="AJ81" s="197"/>
      <c r="AK81" s="197"/>
      <c r="AL81" s="39"/>
      <c r="AP81" s="116"/>
      <c r="AS81" s="116"/>
      <c r="AV81" s="116"/>
    </row>
    <row r="82" spans="1:48" x14ac:dyDescent="0.5">
      <c r="A82" s="9" t="s">
        <v>14</v>
      </c>
      <c r="B82" s="10"/>
      <c r="C82" s="5"/>
      <c r="D82" s="196"/>
      <c r="E82" s="196"/>
      <c r="F82" s="4"/>
      <c r="G82" s="4"/>
      <c r="H82" s="181"/>
      <c r="I82" s="105"/>
      <c r="J82" s="105"/>
      <c r="K82" s="105"/>
      <c r="L82" s="105"/>
      <c r="M82" s="105"/>
      <c r="N82" s="105"/>
      <c r="O82" s="105"/>
      <c r="P82" s="105"/>
      <c r="Q82" s="105"/>
      <c r="R82" s="185"/>
    </row>
    <row r="83" spans="1:48" x14ac:dyDescent="0.5">
      <c r="A83" s="25" t="s">
        <v>115</v>
      </c>
      <c r="B83" s="10"/>
      <c r="C83" s="5"/>
      <c r="D83" s="196"/>
      <c r="E83" s="196"/>
      <c r="F83" s="4"/>
      <c r="G83" s="4"/>
      <c r="H83" s="181"/>
      <c r="I83" s="217"/>
      <c r="J83" s="217"/>
      <c r="K83" s="217"/>
      <c r="L83" s="217"/>
      <c r="M83" s="217"/>
      <c r="N83" s="217"/>
      <c r="O83" s="217"/>
      <c r="P83" s="217"/>
      <c r="Q83" s="217"/>
      <c r="R83" s="217"/>
      <c r="T83">
        <v>60</v>
      </c>
      <c r="U83" s="115">
        <v>55941000</v>
      </c>
      <c r="V83" s="179">
        <f>SUM(U83)*5/100</f>
        <v>2797050</v>
      </c>
      <c r="W83" s="74">
        <f>SUM(U83:V83)</f>
        <v>58738050</v>
      </c>
    </row>
    <row r="84" spans="1:48" x14ac:dyDescent="0.5">
      <c r="A84" s="25" t="s">
        <v>117</v>
      </c>
      <c r="B84" s="11"/>
      <c r="C84" s="5"/>
      <c r="D84" s="196"/>
      <c r="E84" s="196"/>
      <c r="F84" s="4"/>
      <c r="G84" s="4"/>
      <c r="H84" s="105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T84">
        <v>61</v>
      </c>
      <c r="U84" s="115">
        <f>SUM(U83+V83)</f>
        <v>58738050</v>
      </c>
      <c r="V84" s="179">
        <f>SUM(U84)*5/100</f>
        <v>2936902.5</v>
      </c>
      <c r="W84" s="74">
        <f>SUM(U84:V84)</f>
        <v>61674952.5</v>
      </c>
    </row>
    <row r="85" spans="1:48" x14ac:dyDescent="0.5">
      <c r="A85" s="25" t="s">
        <v>119</v>
      </c>
      <c r="B85" s="11"/>
      <c r="C85" s="5"/>
      <c r="D85" s="196"/>
      <c r="E85" s="196"/>
      <c r="F85" s="4"/>
      <c r="G85" s="4"/>
      <c r="H85" s="105"/>
      <c r="I85" s="203"/>
      <c r="J85" s="203"/>
      <c r="K85" s="203"/>
      <c r="L85" s="203"/>
      <c r="M85" s="203"/>
      <c r="N85" s="203"/>
      <c r="O85" s="203"/>
      <c r="P85" s="203"/>
      <c r="Q85" s="203"/>
      <c r="R85" s="203"/>
      <c r="T85">
        <v>62</v>
      </c>
      <c r="U85" s="177">
        <f>SUM(U84+V84)</f>
        <v>61674952.5</v>
      </c>
      <c r="V85" s="179">
        <f>SUM(U85)*5/100</f>
        <v>3083747.625</v>
      </c>
      <c r="W85" s="74">
        <f>SUM(U85:V85)</f>
        <v>64758700.125</v>
      </c>
    </row>
    <row r="86" spans="1:48" x14ac:dyDescent="0.5">
      <c r="A86" s="25" t="s">
        <v>121</v>
      </c>
      <c r="B86" s="11"/>
      <c r="C86" s="5"/>
      <c r="D86" s="196"/>
      <c r="E86" s="196"/>
      <c r="F86" s="4"/>
      <c r="G86" s="72"/>
      <c r="H86" s="186"/>
      <c r="I86" s="203"/>
      <c r="J86" s="203"/>
      <c r="K86" s="203"/>
      <c r="L86" s="203"/>
      <c r="M86" s="203"/>
      <c r="N86" s="203"/>
      <c r="O86" s="203"/>
      <c r="P86" s="203"/>
      <c r="Q86" s="203"/>
      <c r="R86" s="203"/>
      <c r="T86">
        <v>63</v>
      </c>
      <c r="U86" s="177">
        <f>SUM(U85+V85)</f>
        <v>64758700.125</v>
      </c>
      <c r="V86" s="179">
        <f>SUM(U86)*5/100</f>
        <v>3237935.0062500001</v>
      </c>
      <c r="W86" s="74">
        <f>SUM(U86:V86)</f>
        <v>67996635.131249994</v>
      </c>
    </row>
    <row r="87" spans="1:48" x14ac:dyDescent="0.5">
      <c r="A87" s="25"/>
      <c r="B87" s="11"/>
      <c r="C87" s="5"/>
      <c r="D87" s="196"/>
      <c r="E87" s="196"/>
      <c r="F87" s="4"/>
      <c r="G87" s="72"/>
      <c r="H87" s="186"/>
      <c r="I87" s="204"/>
      <c r="J87" s="204"/>
      <c r="K87" s="204"/>
      <c r="L87" s="204"/>
      <c r="M87" s="204"/>
      <c r="N87" s="204"/>
      <c r="O87" s="204"/>
      <c r="P87" s="204"/>
      <c r="Q87" s="204"/>
      <c r="R87" s="204"/>
      <c r="U87" s="177"/>
      <c r="V87" s="178"/>
    </row>
    <row r="88" spans="1:48" x14ac:dyDescent="0.5">
      <c r="A88" s="25" t="s">
        <v>123</v>
      </c>
      <c r="B88" s="10"/>
      <c r="C88" s="5"/>
      <c r="D88" s="196"/>
      <c r="E88" s="196"/>
      <c r="F88" s="4"/>
      <c r="G88" s="4"/>
      <c r="H88" s="4"/>
      <c r="I88" s="205"/>
      <c r="J88" s="205"/>
      <c r="K88" s="205"/>
      <c r="L88" s="205"/>
      <c r="M88" s="205"/>
      <c r="N88" s="205"/>
      <c r="O88" s="205"/>
      <c r="P88" s="4"/>
      <c r="Q88" s="4"/>
      <c r="R88" s="13"/>
      <c r="T88">
        <v>60</v>
      </c>
      <c r="U88" s="178">
        <v>19900000</v>
      </c>
      <c r="V88" s="179">
        <f>SUM(U88)*5/100</f>
        <v>995000</v>
      </c>
      <c r="W88" s="74">
        <f>SUM(U88:V88)</f>
        <v>20895000</v>
      </c>
    </row>
    <row r="89" spans="1:48" x14ac:dyDescent="0.5">
      <c r="A89" s="25" t="s">
        <v>125</v>
      </c>
      <c r="B89" s="10"/>
      <c r="C89" s="5"/>
      <c r="D89" s="196"/>
      <c r="E89" s="196"/>
      <c r="F89" s="4"/>
      <c r="G89" s="4"/>
      <c r="H89" s="4"/>
      <c r="I89" s="205"/>
      <c r="J89" s="205"/>
      <c r="K89" s="205"/>
      <c r="L89" s="205"/>
      <c r="M89" s="205"/>
      <c r="N89" s="205"/>
      <c r="O89" s="205"/>
      <c r="P89" s="4"/>
      <c r="Q89" s="4"/>
      <c r="R89" s="13">
        <v>56</v>
      </c>
      <c r="T89">
        <v>61</v>
      </c>
      <c r="U89" s="115">
        <f>SUM(U88+V88)</f>
        <v>20895000</v>
      </c>
      <c r="V89" s="179">
        <f>SUM(U89)*5/100</f>
        <v>1044750</v>
      </c>
      <c r="W89" s="74">
        <f>SUM(U89:V89)</f>
        <v>21939750</v>
      </c>
    </row>
    <row r="90" spans="1:48" x14ac:dyDescent="0.5">
      <c r="A90" s="25" t="s">
        <v>127</v>
      </c>
      <c r="B90" s="10"/>
      <c r="C90" s="5"/>
      <c r="D90" s="196"/>
      <c r="E90" s="196"/>
      <c r="F90" s="4"/>
      <c r="G90" s="4"/>
      <c r="H90" s="4"/>
      <c r="I90" s="105"/>
      <c r="J90" s="105"/>
      <c r="K90" s="105"/>
      <c r="L90" s="105"/>
      <c r="M90" s="105"/>
      <c r="N90" s="105"/>
      <c r="O90" s="105"/>
      <c r="P90" s="4"/>
      <c r="Q90" s="4"/>
      <c r="R90" s="13">
        <v>57</v>
      </c>
      <c r="T90">
        <v>62</v>
      </c>
      <c r="U90" s="177">
        <f>SUM(U89+V89)</f>
        <v>21939750</v>
      </c>
      <c r="V90" s="179">
        <f>SUM(U90)*5/100</f>
        <v>1096987.5</v>
      </c>
      <c r="W90" s="74">
        <f>SUM(U90:V90)</f>
        <v>23036737.5</v>
      </c>
    </row>
    <row r="91" spans="1:48" x14ac:dyDescent="0.5">
      <c r="A91" s="25" t="s">
        <v>128</v>
      </c>
      <c r="B91" s="10"/>
      <c r="C91" s="5"/>
      <c r="D91" s="196"/>
      <c r="E91" s="196"/>
      <c r="F91" s="4"/>
      <c r="G91" s="4"/>
      <c r="H91" s="4"/>
      <c r="I91" s="105"/>
      <c r="J91" s="105"/>
      <c r="K91" s="105"/>
      <c r="L91" s="105"/>
      <c r="M91" s="105"/>
      <c r="N91" s="105"/>
      <c r="O91" s="105"/>
      <c r="P91" s="4"/>
      <c r="Q91" s="4"/>
      <c r="R91" s="13"/>
      <c r="T91">
        <v>63</v>
      </c>
      <c r="U91" s="177">
        <f>SUM(U90+V90)</f>
        <v>23036737.5</v>
      </c>
      <c r="V91" s="179">
        <f>SUM(U91)*5/100</f>
        <v>1151836.875</v>
      </c>
      <c r="W91" s="74">
        <f>SUM(U91:V91)</f>
        <v>24188574.375</v>
      </c>
    </row>
    <row r="92" spans="1:48" x14ac:dyDescent="0.5">
      <c r="C92" s="8"/>
      <c r="D92" s="196"/>
      <c r="E92" s="196"/>
      <c r="F92" s="4"/>
      <c r="G92" s="4"/>
      <c r="H92" s="4"/>
      <c r="I92" s="105"/>
      <c r="J92" s="105"/>
      <c r="K92" s="105"/>
      <c r="L92" s="105"/>
      <c r="M92" s="105"/>
      <c r="N92" s="105"/>
      <c r="O92" s="105"/>
      <c r="P92" s="206"/>
      <c r="Q92" s="207"/>
      <c r="R92" s="207"/>
    </row>
    <row r="93" spans="1:48" x14ac:dyDescent="0.5">
      <c r="A93" s="196"/>
      <c r="B93" s="4"/>
      <c r="C93" s="8"/>
      <c r="D93" s="196"/>
      <c r="E93" s="196"/>
      <c r="F93" s="4"/>
      <c r="I93" s="105"/>
      <c r="J93" s="105"/>
      <c r="K93" s="105"/>
      <c r="L93" s="105"/>
      <c r="M93" s="105"/>
      <c r="N93" s="105"/>
      <c r="O93" s="105"/>
      <c r="T93" s="106" t="s">
        <v>129</v>
      </c>
      <c r="U93">
        <v>61</v>
      </c>
      <c r="V93">
        <v>62</v>
      </c>
      <c r="W93">
        <v>63</v>
      </c>
    </row>
    <row r="94" spans="1:48" x14ac:dyDescent="0.5">
      <c r="A94" s="1"/>
      <c r="C94" s="3"/>
      <c r="D94" s="1"/>
      <c r="E94" s="1"/>
      <c r="T94" s="106" t="s">
        <v>130</v>
      </c>
      <c r="U94" t="e">
        <f>SUM(#REF!*5/100)</f>
        <v>#REF!</v>
      </c>
      <c r="V94" t="e">
        <f>SUM(#REF!*5/100)</f>
        <v>#REF!</v>
      </c>
      <c r="W94" t="e">
        <f>SUM(#REF!*5/100)</f>
        <v>#REF!</v>
      </c>
    </row>
    <row r="95" spans="1:48" x14ac:dyDescent="0.5">
      <c r="A95" s="1"/>
      <c r="C95" s="3"/>
      <c r="D95" s="1"/>
      <c r="E95" s="1"/>
      <c r="T95">
        <v>16258800</v>
      </c>
    </row>
    <row r="96" spans="1:48" x14ac:dyDescent="0.5">
      <c r="A96" s="1"/>
      <c r="C96" s="3"/>
      <c r="D96" s="1"/>
      <c r="E96" s="1"/>
    </row>
    <row r="97" spans="1:18" x14ac:dyDescent="0.5">
      <c r="A97" s="1"/>
      <c r="C97" s="3"/>
      <c r="D97" s="1"/>
      <c r="E97" s="1"/>
    </row>
    <row r="98" spans="1:18" x14ac:dyDescent="0.5">
      <c r="A98" s="1"/>
      <c r="C98" s="3"/>
      <c r="D98" s="1"/>
      <c r="E98" s="1"/>
    </row>
    <row r="99" spans="1:18" x14ac:dyDescent="0.5">
      <c r="A99" s="1"/>
      <c r="C99" s="3"/>
      <c r="D99" s="1"/>
      <c r="E99" s="1"/>
    </row>
    <row r="100" spans="1:18" x14ac:dyDescent="0.5">
      <c r="A100" s="1"/>
      <c r="C100" s="3"/>
      <c r="D100" s="1"/>
      <c r="E100" s="1"/>
    </row>
    <row r="101" spans="1:18" x14ac:dyDescent="0.5">
      <c r="A101" s="1"/>
      <c r="C101" s="3"/>
      <c r="D101" s="1"/>
      <c r="E101" s="1"/>
    </row>
    <row r="102" spans="1:18" x14ac:dyDescent="0.5">
      <c r="A102" s="1"/>
      <c r="C102" s="3"/>
      <c r="D102" s="1"/>
      <c r="E102" s="1"/>
    </row>
    <row r="103" spans="1:18" x14ac:dyDescent="0.5">
      <c r="A103" s="1"/>
      <c r="C103" s="3"/>
      <c r="D103" s="1"/>
      <c r="E103" s="1"/>
    </row>
    <row r="104" spans="1:18" x14ac:dyDescent="0.5">
      <c r="A104" s="1"/>
      <c r="C104" s="3"/>
      <c r="D104" s="1"/>
      <c r="E104" s="1"/>
    </row>
    <row r="105" spans="1:18" x14ac:dyDescent="0.5">
      <c r="A105" s="1"/>
      <c r="C105" s="3"/>
      <c r="D105" s="1"/>
      <c r="E105" s="1"/>
    </row>
    <row r="106" spans="1:18" x14ac:dyDescent="0.5">
      <c r="A106" s="1"/>
      <c r="C106" s="2"/>
      <c r="D106" s="1"/>
      <c r="E106" s="1"/>
      <c r="F106">
        <v>60</v>
      </c>
      <c r="H106" s="106" t="s">
        <v>131</v>
      </c>
      <c r="I106" s="106" t="s">
        <v>132</v>
      </c>
      <c r="J106" s="106">
        <v>61</v>
      </c>
      <c r="K106" s="106" t="s">
        <v>133</v>
      </c>
      <c r="L106" s="106" t="s">
        <v>134</v>
      </c>
      <c r="N106" s="106" t="s">
        <v>135</v>
      </c>
      <c r="O106" s="106" t="s">
        <v>136</v>
      </c>
    </row>
    <row r="107" spans="1:18" x14ac:dyDescent="0.5">
      <c r="F107">
        <v>12880</v>
      </c>
      <c r="G107">
        <v>520</v>
      </c>
      <c r="H107">
        <f>SUM(F107:G107)</f>
        <v>13400</v>
      </c>
      <c r="I107">
        <f>SUM(H107-9400)</f>
        <v>4000</v>
      </c>
      <c r="J107">
        <v>540</v>
      </c>
      <c r="K107">
        <f>SUM(J107+H107)</f>
        <v>13940</v>
      </c>
      <c r="L107">
        <f>SUM(K107-9400)</f>
        <v>4540</v>
      </c>
      <c r="M107">
        <v>560</v>
      </c>
      <c r="N107">
        <f>SUM(K107+M107)</f>
        <v>14500</v>
      </c>
      <c r="O107">
        <f>SUM(N107-9400)</f>
        <v>5100</v>
      </c>
      <c r="R107">
        <v>55941000</v>
      </c>
    </row>
    <row r="108" spans="1:18" x14ac:dyDescent="0.5">
      <c r="F108">
        <v>12870</v>
      </c>
      <c r="G108">
        <v>520</v>
      </c>
      <c r="H108">
        <f>SUM(F108:G108)</f>
        <v>13390</v>
      </c>
      <c r="I108">
        <f>SUM(H108-9400)</f>
        <v>3990</v>
      </c>
      <c r="J108">
        <v>540</v>
      </c>
      <c r="K108">
        <f>SUM(J108+H108)</f>
        <v>13930</v>
      </c>
      <c r="L108">
        <f>SUM(K108-9400)</f>
        <v>4530</v>
      </c>
      <c r="M108">
        <v>560</v>
      </c>
      <c r="N108">
        <f>SUM(K108+M108)</f>
        <v>14490</v>
      </c>
      <c r="O108">
        <f>SUM(N108-9400)</f>
        <v>5090</v>
      </c>
      <c r="P108" s="108"/>
      <c r="R108" s="106">
        <f>55941000*5/100</f>
        <v>2797050</v>
      </c>
    </row>
    <row r="109" spans="1:18" x14ac:dyDescent="0.5">
      <c r="F109">
        <v>12770</v>
      </c>
      <c r="G109">
        <v>520</v>
      </c>
      <c r="H109">
        <f>SUM(F109:G109)</f>
        <v>13290</v>
      </c>
      <c r="I109">
        <f>SUM(H109-9400)</f>
        <v>3890</v>
      </c>
      <c r="J109">
        <v>530</v>
      </c>
      <c r="K109">
        <f>SUM(J109+H109)</f>
        <v>13820</v>
      </c>
      <c r="L109">
        <f>SUM(K109-9400)</f>
        <v>4420</v>
      </c>
      <c r="M109">
        <v>560</v>
      </c>
      <c r="N109">
        <f>SUM(K109+M109)</f>
        <v>14380</v>
      </c>
      <c r="O109">
        <f>SUM(N109-9400)</f>
        <v>4980</v>
      </c>
      <c r="Q109" s="106" t="s">
        <v>137</v>
      </c>
      <c r="R109">
        <f>SUM(R107:R108)</f>
        <v>58738050</v>
      </c>
    </row>
    <row r="110" spans="1:18" x14ac:dyDescent="0.5">
      <c r="F110">
        <v>12740</v>
      </c>
      <c r="G110">
        <v>510</v>
      </c>
      <c r="H110">
        <f>SUM(F110:G110)</f>
        <v>13250</v>
      </c>
      <c r="I110">
        <f>SUM(H110-9400)</f>
        <v>3850</v>
      </c>
      <c r="J110">
        <v>540</v>
      </c>
      <c r="K110">
        <f>SUM(J110+H110)</f>
        <v>13790</v>
      </c>
      <c r="L110">
        <f>SUM(K110-9400)</f>
        <v>4390</v>
      </c>
      <c r="M110">
        <v>560</v>
      </c>
      <c r="N110">
        <f>SUM(K110+M110)</f>
        <v>14350</v>
      </c>
      <c r="O110">
        <f>SUM(N110-9400)</f>
        <v>4950</v>
      </c>
      <c r="P110" s="15"/>
      <c r="Q110">
        <v>62</v>
      </c>
      <c r="R110">
        <f>SUM(R109*5/100)</f>
        <v>2936902.5</v>
      </c>
    </row>
    <row r="111" spans="1:18" x14ac:dyDescent="0.5">
      <c r="F111">
        <v>11500</v>
      </c>
      <c r="G111">
        <v>460</v>
      </c>
      <c r="H111">
        <f>SUM(F111:G111)</f>
        <v>11960</v>
      </c>
      <c r="I111">
        <f>SUM(H111-9400)</f>
        <v>2560</v>
      </c>
      <c r="J111">
        <v>480</v>
      </c>
      <c r="K111">
        <f>SUM(J111+H111)</f>
        <v>12440</v>
      </c>
      <c r="L111">
        <f>SUM(K111-9400)</f>
        <v>3040</v>
      </c>
      <c r="M111">
        <v>500</v>
      </c>
      <c r="N111">
        <f>SUM(K111+M111)</f>
        <v>12940</v>
      </c>
      <c r="O111">
        <f>SUM(N111-9400)</f>
        <v>3540</v>
      </c>
      <c r="Q111">
        <v>62</v>
      </c>
      <c r="R111">
        <f>SUM(R109:R110)</f>
        <v>61674952.5</v>
      </c>
    </row>
    <row r="112" spans="1:18" x14ac:dyDescent="0.5">
      <c r="F112">
        <f>SUM(F107:F111)*4/100*12</f>
        <v>30124.800000000003</v>
      </c>
      <c r="P112" s="107"/>
      <c r="Q112">
        <v>63</v>
      </c>
      <c r="R112" s="107">
        <f>SUM(R111*5/100)</f>
        <v>3083747.625</v>
      </c>
    </row>
    <row r="113" spans="1:18" x14ac:dyDescent="0.5">
      <c r="F113">
        <f>SUM(F106:F111)*12</f>
        <v>753840</v>
      </c>
      <c r="I113">
        <f>SUM(I107:I111)*12</f>
        <v>219480</v>
      </c>
      <c r="L113">
        <f>SUM(L107:L111)*12</f>
        <v>251040</v>
      </c>
      <c r="O113">
        <f>SUM(O107:O111)*12</f>
        <v>283920</v>
      </c>
      <c r="Q113">
        <v>63</v>
      </c>
      <c r="R113" s="73">
        <f>SUM(R111:R112)</f>
        <v>64758700.125</v>
      </c>
    </row>
    <row r="115" spans="1:18" x14ac:dyDescent="0.5">
      <c r="I115" s="178">
        <f>SUM(I113*12)</f>
        <v>2633760</v>
      </c>
      <c r="L115" s="178">
        <f>SUM(L113*12)</f>
        <v>3012480</v>
      </c>
      <c r="O115" s="178">
        <f>SUM(O113*12)</f>
        <v>3407040</v>
      </c>
    </row>
    <row r="116" spans="1:18" x14ac:dyDescent="0.5">
      <c r="A116" t="s">
        <v>138</v>
      </c>
      <c r="F116">
        <f>13285*12*5</f>
        <v>797100</v>
      </c>
    </row>
    <row r="117" spans="1:18" x14ac:dyDescent="0.5">
      <c r="A117">
        <v>1</v>
      </c>
      <c r="B117" t="s">
        <v>139</v>
      </c>
    </row>
    <row r="118" spans="1:18" x14ac:dyDescent="0.5">
      <c r="A118">
        <v>2</v>
      </c>
      <c r="B118" t="s">
        <v>140</v>
      </c>
    </row>
    <row r="119" spans="1:18" x14ac:dyDescent="0.5">
      <c r="A119">
        <v>3</v>
      </c>
      <c r="B119" t="s">
        <v>141</v>
      </c>
    </row>
    <row r="120" spans="1:18" x14ac:dyDescent="0.5">
      <c r="A120">
        <v>4</v>
      </c>
      <c r="B120" t="s">
        <v>142</v>
      </c>
    </row>
    <row r="121" spans="1:18" x14ac:dyDescent="0.5">
      <c r="A121">
        <v>5</v>
      </c>
      <c r="B121" t="s">
        <v>143</v>
      </c>
    </row>
    <row r="122" spans="1:18" x14ac:dyDescent="0.5">
      <c r="A122">
        <v>6</v>
      </c>
      <c r="B122" t="s">
        <v>144</v>
      </c>
    </row>
    <row r="123" spans="1:18" x14ac:dyDescent="0.5">
      <c r="A123">
        <v>7</v>
      </c>
      <c r="B123" t="s">
        <v>145</v>
      </c>
    </row>
    <row r="124" spans="1:18" x14ac:dyDescent="0.5">
      <c r="A124">
        <v>8</v>
      </c>
      <c r="B124" t="s">
        <v>146</v>
      </c>
    </row>
    <row r="125" spans="1:18" x14ac:dyDescent="0.5">
      <c r="A125">
        <v>9</v>
      </c>
      <c r="B125" t="s">
        <v>147</v>
      </c>
    </row>
    <row r="126" spans="1:18" x14ac:dyDescent="0.5">
      <c r="A126">
        <v>10</v>
      </c>
      <c r="B126" t="s">
        <v>148</v>
      </c>
    </row>
    <row r="127" spans="1:18" x14ac:dyDescent="0.5">
      <c r="A127">
        <v>11</v>
      </c>
      <c r="B127" t="s">
        <v>149</v>
      </c>
    </row>
    <row r="128" spans="1:18" x14ac:dyDescent="0.5">
      <c r="A128">
        <v>12</v>
      </c>
    </row>
  </sheetData>
  <mergeCells count="61">
    <mergeCell ref="AD6:AG6"/>
    <mergeCell ref="AH6:AK6"/>
    <mergeCell ref="AM6:AO6"/>
    <mergeCell ref="AP6:AR6"/>
    <mergeCell ref="A4:R4"/>
    <mergeCell ref="A5:A7"/>
    <mergeCell ref="B5:B7"/>
    <mergeCell ref="E5:F5"/>
    <mergeCell ref="G5:I5"/>
    <mergeCell ref="J5:L5"/>
    <mergeCell ref="M5:O5"/>
    <mergeCell ref="P5:R5"/>
    <mergeCell ref="AS6:AU6"/>
    <mergeCell ref="A27:A29"/>
    <mergeCell ref="B27:B29"/>
    <mergeCell ref="E27:F27"/>
    <mergeCell ref="G27:I27"/>
    <mergeCell ref="J27:L27"/>
    <mergeCell ref="M27:O27"/>
    <mergeCell ref="P27:R27"/>
    <mergeCell ref="G28:I28"/>
    <mergeCell ref="J28:L28"/>
    <mergeCell ref="W5:W7"/>
    <mergeCell ref="Z5:AK5"/>
    <mergeCell ref="AM5:AU5"/>
    <mergeCell ref="G6:I6"/>
    <mergeCell ref="J6:L6"/>
    <mergeCell ref="Z6:AC6"/>
    <mergeCell ref="X65:AL65"/>
    <mergeCell ref="AN46:AU46"/>
    <mergeCell ref="A49:A51"/>
    <mergeCell ref="B49:B51"/>
    <mergeCell ref="E49:F49"/>
    <mergeCell ref="G49:I49"/>
    <mergeCell ref="J49:L49"/>
    <mergeCell ref="M49:O49"/>
    <mergeCell ref="P49:R49"/>
    <mergeCell ref="G50:I50"/>
    <mergeCell ref="J50:L50"/>
    <mergeCell ref="AN52:AU52"/>
    <mergeCell ref="AN53:AU53"/>
    <mergeCell ref="X62:AK62"/>
    <mergeCell ref="X63:AK63"/>
    <mergeCell ref="X64:AK64"/>
    <mergeCell ref="I85:R85"/>
    <mergeCell ref="X66:AK66"/>
    <mergeCell ref="I74:R74"/>
    <mergeCell ref="I75:R75"/>
    <mergeCell ref="I76:R76"/>
    <mergeCell ref="I77:R77"/>
    <mergeCell ref="I78:R78"/>
    <mergeCell ref="I79:R79"/>
    <mergeCell ref="I80:R80"/>
    <mergeCell ref="I81:R81"/>
    <mergeCell ref="I83:R83"/>
    <mergeCell ref="I84:R84"/>
    <mergeCell ref="I86:R86"/>
    <mergeCell ref="I87:R87"/>
    <mergeCell ref="I88:O88"/>
    <mergeCell ref="I89:O89"/>
    <mergeCell ref="P92:R92"/>
  </mergeCells>
  <pageMargins left="0.47244094488188981" right="0.23622047244094491" top="0.51181102362204722" bottom="0.51181102362204722" header="3.937007874015748E-2" footer="3.937007874015748E-2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128"/>
  <sheetViews>
    <sheetView tabSelected="1" zoomScale="130" zoomScaleNormal="130" workbookViewId="0">
      <selection activeCell="I17" sqref="I17"/>
    </sheetView>
  </sheetViews>
  <sheetFormatPr defaultRowHeight="21.75" x14ac:dyDescent="0.5"/>
  <cols>
    <col min="1" max="1" width="6.85546875" customWidth="1"/>
    <col min="2" max="2" width="33.7109375" customWidth="1"/>
    <col min="3" max="3" width="9.28515625" customWidth="1"/>
    <col min="4" max="5" width="6" customWidth="1"/>
    <col min="6" max="6" width="9.42578125" customWidth="1"/>
    <col min="7" max="7" width="5.5703125" customWidth="1"/>
    <col min="8" max="8" width="6.42578125" customWidth="1"/>
    <col min="9" max="9" width="5.7109375" customWidth="1"/>
    <col min="10" max="10" width="6.140625" customWidth="1"/>
    <col min="11" max="11" width="6.85546875" customWidth="1"/>
    <col min="12" max="12" width="6.28515625" customWidth="1"/>
    <col min="13" max="13" width="8.140625" customWidth="1"/>
    <col min="14" max="14" width="8" customWidth="1"/>
    <col min="15" max="15" width="7.42578125" customWidth="1"/>
    <col min="16" max="16" width="9.5703125" customWidth="1"/>
    <col min="17" max="17" width="9.7109375" customWidth="1"/>
    <col min="18" max="18" width="9.5703125" customWidth="1"/>
    <col min="19" max="19" width="7" customWidth="1"/>
    <col min="21" max="21" width="13.140625" customWidth="1"/>
    <col min="22" max="22" width="13.28515625" customWidth="1"/>
    <col min="23" max="23" width="16.42578125" customWidth="1"/>
    <col min="39" max="39" width="12.140625" bestFit="1" customWidth="1"/>
    <col min="42" max="42" width="10.140625" customWidth="1"/>
    <col min="45" max="45" width="9.42578125" customWidth="1"/>
    <col min="48" max="48" width="9" customWidth="1"/>
  </cols>
  <sheetData>
    <row r="1" spans="1:47" ht="24.75" customHeight="1" x14ac:dyDescent="0.5">
      <c r="A1" s="34" t="s">
        <v>0</v>
      </c>
      <c r="B1" s="4"/>
      <c r="C1" s="5"/>
      <c r="D1" s="196"/>
      <c r="E1" s="19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94" t="s">
        <v>150</v>
      </c>
      <c r="R1" s="117"/>
    </row>
    <row r="2" spans="1:47" ht="24.75" customHeight="1" x14ac:dyDescent="0.5">
      <c r="A2" s="6" t="s">
        <v>2</v>
      </c>
      <c r="B2" s="4"/>
      <c r="C2" s="5"/>
      <c r="D2" s="196"/>
      <c r="E2" s="19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47" ht="24.75" customHeight="1" x14ac:dyDescent="0.5">
      <c r="A3" s="6" t="s">
        <v>3</v>
      </c>
      <c r="B3" s="4"/>
      <c r="C3" s="5"/>
      <c r="D3" s="196"/>
      <c r="E3" s="19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47" ht="24.75" customHeight="1" x14ac:dyDescent="0.5">
      <c r="A4" s="237" t="s">
        <v>4</v>
      </c>
      <c r="B4" s="237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</row>
    <row r="5" spans="1:47" s="80" customFormat="1" ht="21" customHeight="1" x14ac:dyDescent="0.45">
      <c r="A5" s="218" t="s">
        <v>5</v>
      </c>
      <c r="B5" s="221" t="s">
        <v>6</v>
      </c>
      <c r="C5" s="78" t="s">
        <v>7</v>
      </c>
      <c r="D5" s="199" t="s">
        <v>8</v>
      </c>
      <c r="E5" s="224" t="s">
        <v>9</v>
      </c>
      <c r="F5" s="224"/>
      <c r="G5" s="225" t="s">
        <v>10</v>
      </c>
      <c r="H5" s="225"/>
      <c r="I5" s="225"/>
      <c r="J5" s="226" t="s">
        <v>11</v>
      </c>
      <c r="K5" s="225"/>
      <c r="L5" s="225"/>
      <c r="M5" s="226" t="s">
        <v>12</v>
      </c>
      <c r="N5" s="225"/>
      <c r="O5" s="227"/>
      <c r="P5" s="225" t="s">
        <v>13</v>
      </c>
      <c r="Q5" s="225"/>
      <c r="R5" s="227"/>
      <c r="S5" s="79" t="s">
        <v>14</v>
      </c>
      <c r="W5" s="231" t="s">
        <v>15</v>
      </c>
      <c r="X5" s="81" t="s">
        <v>16</v>
      </c>
      <c r="Y5" s="81" t="s">
        <v>17</v>
      </c>
      <c r="Z5" s="234" t="s">
        <v>18</v>
      </c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6"/>
      <c r="AL5" s="82"/>
      <c r="AM5" s="230" t="s">
        <v>19</v>
      </c>
      <c r="AN5" s="230"/>
      <c r="AO5" s="230"/>
      <c r="AP5" s="230"/>
      <c r="AQ5" s="230"/>
      <c r="AR5" s="230"/>
      <c r="AS5" s="230"/>
      <c r="AT5" s="230"/>
      <c r="AU5" s="230"/>
    </row>
    <row r="6" spans="1:47" s="80" customFormat="1" ht="21" customHeight="1" x14ac:dyDescent="0.45">
      <c r="A6" s="219"/>
      <c r="B6" s="222"/>
      <c r="C6" s="83" t="s">
        <v>15</v>
      </c>
      <c r="D6" s="84" t="s">
        <v>20</v>
      </c>
      <c r="E6" s="198" t="s">
        <v>8</v>
      </c>
      <c r="F6" s="200" t="s">
        <v>16</v>
      </c>
      <c r="G6" s="228" t="s">
        <v>21</v>
      </c>
      <c r="H6" s="228"/>
      <c r="I6" s="228"/>
      <c r="J6" s="229" t="s">
        <v>22</v>
      </c>
      <c r="K6" s="228"/>
      <c r="L6" s="228"/>
      <c r="M6" s="202"/>
      <c r="N6" s="201"/>
      <c r="O6" s="85"/>
      <c r="P6" s="201"/>
      <c r="Q6" s="201"/>
      <c r="R6" s="85"/>
      <c r="S6" s="86"/>
      <c r="W6" s="232"/>
      <c r="X6" s="87" t="s">
        <v>23</v>
      </c>
      <c r="Y6" s="87" t="s">
        <v>16</v>
      </c>
      <c r="Z6" s="236">
        <v>2560</v>
      </c>
      <c r="AA6" s="230"/>
      <c r="AB6" s="230"/>
      <c r="AC6" s="230"/>
      <c r="AD6" s="230">
        <v>2561</v>
      </c>
      <c r="AE6" s="230"/>
      <c r="AF6" s="230"/>
      <c r="AG6" s="230"/>
      <c r="AH6" s="230">
        <v>2563</v>
      </c>
      <c r="AI6" s="230"/>
      <c r="AJ6" s="230"/>
      <c r="AK6" s="230"/>
      <c r="AL6" s="82"/>
      <c r="AM6" s="230">
        <v>2558</v>
      </c>
      <c r="AN6" s="230"/>
      <c r="AO6" s="230"/>
      <c r="AP6" s="230">
        <v>2559</v>
      </c>
      <c r="AQ6" s="230"/>
      <c r="AR6" s="230"/>
      <c r="AS6" s="230">
        <v>2560</v>
      </c>
      <c r="AT6" s="230"/>
      <c r="AU6" s="230"/>
    </row>
    <row r="7" spans="1:47" s="80" customFormat="1" ht="21" customHeight="1" x14ac:dyDescent="0.45">
      <c r="A7" s="219"/>
      <c r="B7" s="222"/>
      <c r="C7" s="83"/>
      <c r="D7" s="84"/>
      <c r="E7" s="88" t="s">
        <v>24</v>
      </c>
      <c r="F7" s="89" t="s">
        <v>25</v>
      </c>
      <c r="G7" s="90">
        <v>2561</v>
      </c>
      <c r="H7" s="91">
        <v>2562</v>
      </c>
      <c r="I7" s="91">
        <v>2563</v>
      </c>
      <c r="J7" s="90">
        <v>2561</v>
      </c>
      <c r="K7" s="91">
        <v>2562</v>
      </c>
      <c r="L7" s="91">
        <v>2563</v>
      </c>
      <c r="M7" s="90">
        <v>2561</v>
      </c>
      <c r="N7" s="91">
        <v>2562</v>
      </c>
      <c r="O7" s="91">
        <v>2563</v>
      </c>
      <c r="P7" s="90">
        <v>2561</v>
      </c>
      <c r="Q7" s="91">
        <v>2562</v>
      </c>
      <c r="R7" s="91">
        <v>2563</v>
      </c>
      <c r="S7" s="92"/>
      <c r="W7" s="233"/>
      <c r="X7" s="87" t="s">
        <v>26</v>
      </c>
      <c r="Y7" s="87" t="s">
        <v>27</v>
      </c>
      <c r="Z7" s="93" t="s">
        <v>28</v>
      </c>
      <c r="AA7" s="81" t="s">
        <v>29</v>
      </c>
      <c r="AB7" s="81" t="s">
        <v>30</v>
      </c>
      <c r="AC7" s="81" t="s">
        <v>31</v>
      </c>
      <c r="AD7" s="93" t="s">
        <v>28</v>
      </c>
      <c r="AE7" s="81" t="s">
        <v>29</v>
      </c>
      <c r="AF7" s="81" t="s">
        <v>30</v>
      </c>
      <c r="AG7" s="81" t="s">
        <v>31</v>
      </c>
      <c r="AH7" s="93" t="s">
        <v>28</v>
      </c>
      <c r="AI7" s="81" t="s">
        <v>29</v>
      </c>
      <c r="AJ7" s="81" t="s">
        <v>30</v>
      </c>
      <c r="AK7" s="81" t="s">
        <v>31</v>
      </c>
      <c r="AL7" s="82"/>
      <c r="AM7" s="94" t="s">
        <v>32</v>
      </c>
      <c r="AN7" s="95" t="s">
        <v>33</v>
      </c>
      <c r="AO7" s="94" t="s">
        <v>34</v>
      </c>
      <c r="AP7" s="94" t="s">
        <v>32</v>
      </c>
      <c r="AQ7" s="95" t="s">
        <v>33</v>
      </c>
      <c r="AR7" s="94" t="s">
        <v>34</v>
      </c>
      <c r="AS7" s="94" t="s">
        <v>32</v>
      </c>
      <c r="AT7" s="95" t="s">
        <v>33</v>
      </c>
      <c r="AU7" s="94" t="s">
        <v>34</v>
      </c>
    </row>
    <row r="8" spans="1:47" ht="21" customHeight="1" x14ac:dyDescent="0.5">
      <c r="A8" s="12">
        <v>1</v>
      </c>
      <c r="B8" s="60" t="s">
        <v>35</v>
      </c>
      <c r="C8" s="20" t="s">
        <v>36</v>
      </c>
      <c r="D8" s="12">
        <v>1</v>
      </c>
      <c r="E8" s="12">
        <v>1</v>
      </c>
      <c r="F8" s="15">
        <f>SUM(33140*12)+7000*2*12</f>
        <v>565680</v>
      </c>
      <c r="G8" s="55">
        <v>1</v>
      </c>
      <c r="H8" s="55">
        <v>1</v>
      </c>
      <c r="I8" s="55">
        <v>1</v>
      </c>
      <c r="J8" s="70" t="s">
        <v>37</v>
      </c>
      <c r="K8" s="70" t="s">
        <v>37</v>
      </c>
      <c r="L8" s="70" t="s">
        <v>37</v>
      </c>
      <c r="M8" s="70">
        <f>SUM(1290*12)</f>
        <v>15480</v>
      </c>
      <c r="N8" s="69">
        <f>SUM(1330*12)</f>
        <v>15960</v>
      </c>
      <c r="O8" s="69">
        <f>SUM(1370*12)</f>
        <v>16440</v>
      </c>
      <c r="P8" s="70">
        <f>SUM(F8+M8)</f>
        <v>581160</v>
      </c>
      <c r="Q8" s="15">
        <f>SUM(F8+N8)</f>
        <v>581640</v>
      </c>
      <c r="R8" s="15">
        <f>SUM(F8+7)</f>
        <v>565687</v>
      </c>
      <c r="S8" s="60"/>
      <c r="W8" s="40" t="s">
        <v>38</v>
      </c>
      <c r="X8" s="41">
        <v>33140</v>
      </c>
      <c r="Y8" s="42">
        <f>SUM(X8*12)</f>
        <v>397680</v>
      </c>
      <c r="Z8" s="41">
        <v>33140</v>
      </c>
      <c r="AA8" s="41">
        <v>34430</v>
      </c>
      <c r="AB8" s="43">
        <f>SUM(AA8-Z8)</f>
        <v>1290</v>
      </c>
      <c r="AC8" s="42">
        <f>SUM(AB8*12)</f>
        <v>15480</v>
      </c>
      <c r="AD8" s="41">
        <f>SUM(AA8)</f>
        <v>34430</v>
      </c>
      <c r="AE8" s="41">
        <v>35760</v>
      </c>
      <c r="AF8" s="43">
        <f>SUM(AE8-AD8)</f>
        <v>1330</v>
      </c>
      <c r="AG8" s="42">
        <f>SUM(AF8*12)</f>
        <v>15960</v>
      </c>
      <c r="AH8" s="41">
        <f>SUM(AE8)</f>
        <v>35760</v>
      </c>
      <c r="AI8" s="41">
        <v>37130</v>
      </c>
      <c r="AJ8" s="43">
        <f>SUM(AI8-AH8)</f>
        <v>1370</v>
      </c>
      <c r="AK8" s="42">
        <f>SUM(AJ8*12)</f>
        <v>16440</v>
      </c>
      <c r="AL8" s="39"/>
      <c r="AM8" s="40"/>
      <c r="AN8" s="40"/>
      <c r="AO8" s="40"/>
      <c r="AP8" s="40"/>
      <c r="AQ8" s="40"/>
      <c r="AR8" s="40"/>
      <c r="AS8" s="40"/>
      <c r="AT8" s="40"/>
      <c r="AU8" s="40"/>
    </row>
    <row r="9" spans="1:47" ht="21" customHeight="1" x14ac:dyDescent="0.5">
      <c r="A9" s="12">
        <v>2</v>
      </c>
      <c r="B9" s="60" t="s">
        <v>39</v>
      </c>
      <c r="C9" s="20" t="s">
        <v>40</v>
      </c>
      <c r="D9" s="12">
        <v>1</v>
      </c>
      <c r="E9" s="12">
        <v>1</v>
      </c>
      <c r="F9" s="15">
        <f>SUM(42210*12)+3500*12</f>
        <v>548520</v>
      </c>
      <c r="G9" s="55">
        <v>1</v>
      </c>
      <c r="H9" s="55">
        <v>1</v>
      </c>
      <c r="I9" s="55">
        <v>1</v>
      </c>
      <c r="J9" s="70" t="s">
        <v>37</v>
      </c>
      <c r="K9" s="70" t="s">
        <v>37</v>
      </c>
      <c r="L9" s="70" t="s">
        <v>37</v>
      </c>
      <c r="M9" s="70">
        <f>1370*12</f>
        <v>16440</v>
      </c>
      <c r="N9" s="69">
        <f>1410*12</f>
        <v>16920</v>
      </c>
      <c r="O9" s="69">
        <f>1500*12</f>
        <v>18000</v>
      </c>
      <c r="P9" s="70">
        <f>SUM(F9+M9)</f>
        <v>564960</v>
      </c>
      <c r="Q9" s="15">
        <f>SUM(F9+N9)</f>
        <v>565440</v>
      </c>
      <c r="R9" s="15">
        <f>SUM(F9+7)</f>
        <v>548527</v>
      </c>
      <c r="S9" s="33"/>
      <c r="W9" s="44" t="s">
        <v>41</v>
      </c>
      <c r="X9" s="45">
        <v>42210</v>
      </c>
      <c r="Y9" s="46">
        <f>SUM(X9*12)</f>
        <v>506520</v>
      </c>
      <c r="Z9" s="41">
        <v>42210</v>
      </c>
      <c r="AA9" s="45">
        <v>43580</v>
      </c>
      <c r="AB9" s="43">
        <f>SUM(AA9-Z9)</f>
        <v>1370</v>
      </c>
      <c r="AC9" s="42">
        <f>SUM(AB9*12)</f>
        <v>16440</v>
      </c>
      <c r="AD9" s="41">
        <f>SUM(AA9)</f>
        <v>43580</v>
      </c>
      <c r="AE9" s="45">
        <v>44990</v>
      </c>
      <c r="AF9" s="47">
        <f>SUM(AE9-AD9)</f>
        <v>1410</v>
      </c>
      <c r="AG9" s="46">
        <f>SUM(AF9*12)</f>
        <v>16920</v>
      </c>
      <c r="AH9" s="41">
        <f t="shared" ref="AH9:AH25" si="0">SUM(AE9)</f>
        <v>44990</v>
      </c>
      <c r="AI9" s="45">
        <v>46490</v>
      </c>
      <c r="AJ9" s="47">
        <f>SUM(AI9-AH9)</f>
        <v>1500</v>
      </c>
      <c r="AK9" s="46">
        <f>SUM(AJ9*12)</f>
        <v>18000</v>
      </c>
      <c r="AL9" s="39"/>
      <c r="AM9" s="44"/>
      <c r="AN9" s="44"/>
      <c r="AO9" s="44"/>
      <c r="AP9" s="44"/>
      <c r="AQ9" s="44"/>
      <c r="AR9" s="44"/>
      <c r="AS9" s="44"/>
      <c r="AT9" s="44"/>
      <c r="AU9" s="44"/>
    </row>
    <row r="10" spans="1:47" ht="21" customHeight="1" x14ac:dyDescent="0.5">
      <c r="A10" s="12"/>
      <c r="B10" s="61" t="s">
        <v>42</v>
      </c>
      <c r="C10" s="20"/>
      <c r="D10" s="12"/>
      <c r="E10" s="12"/>
      <c r="F10" s="14"/>
      <c r="G10" s="55"/>
      <c r="H10" s="55"/>
      <c r="I10" s="55"/>
      <c r="J10" s="70"/>
      <c r="K10" s="70"/>
      <c r="L10" s="70"/>
      <c r="M10" s="70"/>
      <c r="N10" s="69"/>
      <c r="O10" s="69"/>
      <c r="P10" s="15"/>
      <c r="Q10" s="15"/>
      <c r="R10" s="15"/>
      <c r="S10" s="35"/>
      <c r="W10" s="48" t="s">
        <v>42</v>
      </c>
      <c r="X10" s="38"/>
      <c r="Y10" s="38"/>
      <c r="Z10" s="41"/>
      <c r="AA10" s="38"/>
      <c r="AB10" s="38"/>
      <c r="AC10" s="38"/>
      <c r="AD10" s="41">
        <f>SUM(X10)</f>
        <v>0</v>
      </c>
      <c r="AE10" s="38"/>
      <c r="AF10" s="38"/>
      <c r="AG10" s="38"/>
      <c r="AH10" s="41">
        <f t="shared" si="0"/>
        <v>0</v>
      </c>
      <c r="AI10" s="38"/>
      <c r="AJ10" s="38"/>
      <c r="AK10" s="38"/>
      <c r="AL10" s="39"/>
      <c r="AM10" s="44"/>
      <c r="AN10" s="44"/>
      <c r="AO10" s="44"/>
      <c r="AP10" s="44"/>
      <c r="AQ10" s="44"/>
      <c r="AR10" s="44"/>
      <c r="AS10" s="44"/>
      <c r="AT10" s="44"/>
      <c r="AU10" s="44"/>
    </row>
    <row r="11" spans="1:47" ht="21" customHeight="1" x14ac:dyDescent="0.5">
      <c r="A11" s="12">
        <v>3</v>
      </c>
      <c r="B11" s="60" t="s">
        <v>43</v>
      </c>
      <c r="C11" s="20" t="s">
        <v>40</v>
      </c>
      <c r="D11" s="12">
        <v>1</v>
      </c>
      <c r="E11" s="12">
        <v>1</v>
      </c>
      <c r="F11" s="15">
        <f>SUM(26980*12)+3500*12</f>
        <v>365760</v>
      </c>
      <c r="G11" s="55">
        <v>1</v>
      </c>
      <c r="H11" s="55">
        <v>1</v>
      </c>
      <c r="I11" s="55">
        <v>1</v>
      </c>
      <c r="J11" s="70" t="s">
        <v>37</v>
      </c>
      <c r="K11" s="70" t="s">
        <v>37</v>
      </c>
      <c r="L11" s="70" t="s">
        <v>37</v>
      </c>
      <c r="M11" s="70">
        <f>1050*12</f>
        <v>12600</v>
      </c>
      <c r="N11" s="69">
        <f>1080*12</f>
        <v>12960</v>
      </c>
      <c r="O11" s="69">
        <f>1110*12</f>
        <v>13320</v>
      </c>
      <c r="P11" s="70">
        <f t="shared" ref="P11:P16" si="1">SUM(F11+M11)</f>
        <v>378360</v>
      </c>
      <c r="Q11" s="15">
        <f t="shared" ref="Q11:Q16" si="2">SUM(F11+N11)</f>
        <v>378720</v>
      </c>
      <c r="R11" s="15">
        <f t="shared" ref="R11:R16" si="3">SUM(F11+7)</f>
        <v>365767</v>
      </c>
      <c r="S11" s="35"/>
      <c r="W11" s="44" t="s">
        <v>44</v>
      </c>
      <c r="X11" s="45">
        <v>26980</v>
      </c>
      <c r="Y11" s="46">
        <f t="shared" ref="Y11:Y16" si="4">SUM(X11*12)</f>
        <v>323760</v>
      </c>
      <c r="Z11" s="41">
        <f t="shared" ref="Z11:Z16" si="5">SUM(X11)</f>
        <v>26980</v>
      </c>
      <c r="AA11" s="45">
        <v>28030</v>
      </c>
      <c r="AB11" s="43">
        <f t="shared" ref="AB11:AB16" si="6">SUM(AA11-Z11)</f>
        <v>1050</v>
      </c>
      <c r="AC11" s="42">
        <f t="shared" ref="AC11:AC16" si="7">SUM(AB11*12)</f>
        <v>12600</v>
      </c>
      <c r="AD11" s="41">
        <f>SUM(AA11)</f>
        <v>28030</v>
      </c>
      <c r="AE11" s="45">
        <v>29110</v>
      </c>
      <c r="AF11" s="47">
        <f t="shared" ref="AF11:AF16" si="8">SUM(AE11-AD11)</f>
        <v>1080</v>
      </c>
      <c r="AG11" s="46">
        <f t="shared" ref="AG11:AG16" si="9">SUM(AF11*12)</f>
        <v>12960</v>
      </c>
      <c r="AH11" s="41">
        <f t="shared" si="0"/>
        <v>29110</v>
      </c>
      <c r="AI11" s="45">
        <v>30220</v>
      </c>
      <c r="AJ11" s="47">
        <f t="shared" ref="AJ11:AJ16" si="10">SUM(AI11-AH11)</f>
        <v>1110</v>
      </c>
      <c r="AK11" s="46">
        <f t="shared" ref="AK11:AK16" si="11">SUM(AJ11*12)</f>
        <v>13320</v>
      </c>
      <c r="AL11" s="39"/>
      <c r="AM11" s="44"/>
      <c r="AN11" s="44"/>
      <c r="AO11" s="44"/>
      <c r="AP11" s="44"/>
      <c r="AQ11" s="44"/>
      <c r="AR11" s="44"/>
      <c r="AS11" s="44"/>
      <c r="AT11" s="44"/>
      <c r="AU11" s="44"/>
    </row>
    <row r="12" spans="1:47" ht="21" customHeight="1" x14ac:dyDescent="0.5">
      <c r="A12" s="12">
        <v>4</v>
      </c>
      <c r="B12" s="60" t="s">
        <v>45</v>
      </c>
      <c r="C12" s="20" t="s">
        <v>46</v>
      </c>
      <c r="D12" s="12">
        <v>1</v>
      </c>
      <c r="E12" s="12">
        <v>1</v>
      </c>
      <c r="F12" s="15">
        <f>SUM(23550*12)</f>
        <v>282600</v>
      </c>
      <c r="G12" s="55">
        <v>1</v>
      </c>
      <c r="H12" s="55">
        <v>1</v>
      </c>
      <c r="I12" s="55">
        <v>1</v>
      </c>
      <c r="J12" s="70" t="s">
        <v>37</v>
      </c>
      <c r="K12" s="70" t="s">
        <v>37</v>
      </c>
      <c r="L12" s="70" t="s">
        <v>37</v>
      </c>
      <c r="M12" s="70">
        <f>940*12</f>
        <v>11280</v>
      </c>
      <c r="N12" s="69">
        <f>980*12</f>
        <v>11760</v>
      </c>
      <c r="O12" s="69">
        <f>SUM(AK12)</f>
        <v>11880</v>
      </c>
      <c r="P12" s="70">
        <f t="shared" si="1"/>
        <v>293880</v>
      </c>
      <c r="Q12" s="15">
        <f t="shared" si="2"/>
        <v>294360</v>
      </c>
      <c r="R12" s="15">
        <f t="shared" si="3"/>
        <v>282607</v>
      </c>
      <c r="S12" s="33"/>
      <c r="W12" s="44" t="s">
        <v>47</v>
      </c>
      <c r="X12" s="45">
        <v>23550</v>
      </c>
      <c r="Y12" s="46">
        <f t="shared" si="4"/>
        <v>282600</v>
      </c>
      <c r="Z12" s="41">
        <f t="shared" si="5"/>
        <v>23550</v>
      </c>
      <c r="AA12" s="45">
        <v>24490</v>
      </c>
      <c r="AB12" s="43">
        <f t="shared" si="6"/>
        <v>940</v>
      </c>
      <c r="AC12" s="42">
        <f t="shared" si="7"/>
        <v>11280</v>
      </c>
      <c r="AD12" s="41">
        <f t="shared" ref="AD12:AD18" si="12">SUM(AA12)</f>
        <v>24490</v>
      </c>
      <c r="AE12" s="45">
        <v>25470</v>
      </c>
      <c r="AF12" s="47">
        <f t="shared" si="8"/>
        <v>980</v>
      </c>
      <c r="AG12" s="46">
        <f t="shared" si="9"/>
        <v>11760</v>
      </c>
      <c r="AH12" s="41">
        <f t="shared" si="0"/>
        <v>25470</v>
      </c>
      <c r="AI12" s="45">
        <v>26460</v>
      </c>
      <c r="AJ12" s="47">
        <f t="shared" si="10"/>
        <v>990</v>
      </c>
      <c r="AK12" s="46">
        <f t="shared" si="11"/>
        <v>11880</v>
      </c>
      <c r="AL12" s="39"/>
      <c r="AM12" s="44"/>
      <c r="AN12" s="44"/>
      <c r="AO12" s="44"/>
      <c r="AP12" s="44"/>
      <c r="AQ12" s="44"/>
      <c r="AR12" s="44"/>
      <c r="AS12" s="44"/>
      <c r="AT12" s="44"/>
      <c r="AU12" s="44"/>
    </row>
    <row r="13" spans="1:47" ht="21" customHeight="1" x14ac:dyDescent="0.5">
      <c r="A13" s="12">
        <v>5</v>
      </c>
      <c r="B13" s="7" t="s">
        <v>48</v>
      </c>
      <c r="C13" s="20" t="s">
        <v>46</v>
      </c>
      <c r="D13" s="12">
        <v>1</v>
      </c>
      <c r="E13" s="12">
        <v>1</v>
      </c>
      <c r="F13" s="15">
        <f>SUM(24970*12)</f>
        <v>299640</v>
      </c>
      <c r="G13" s="55">
        <v>1</v>
      </c>
      <c r="H13" s="55">
        <v>1</v>
      </c>
      <c r="I13" s="55">
        <v>1</v>
      </c>
      <c r="J13" s="70" t="s">
        <v>37</v>
      </c>
      <c r="K13" s="70" t="s">
        <v>37</v>
      </c>
      <c r="L13" s="70" t="s">
        <v>37</v>
      </c>
      <c r="M13" s="70">
        <f>1000*12</f>
        <v>12000</v>
      </c>
      <c r="N13" s="69">
        <f>1010*12</f>
        <v>12120</v>
      </c>
      <c r="O13" s="69">
        <f>1050*12</f>
        <v>12600</v>
      </c>
      <c r="P13" s="70">
        <f t="shared" si="1"/>
        <v>311640</v>
      </c>
      <c r="Q13" s="15">
        <f t="shared" si="2"/>
        <v>311760</v>
      </c>
      <c r="R13" s="15">
        <f t="shared" si="3"/>
        <v>299647</v>
      </c>
      <c r="S13" s="33"/>
      <c r="W13" s="29" t="s">
        <v>49</v>
      </c>
      <c r="X13" s="45">
        <v>24970</v>
      </c>
      <c r="Y13" s="46">
        <f t="shared" si="4"/>
        <v>299640</v>
      </c>
      <c r="Z13" s="41">
        <f t="shared" si="5"/>
        <v>24970</v>
      </c>
      <c r="AA13" s="45">
        <v>25970</v>
      </c>
      <c r="AB13" s="43">
        <f t="shared" si="6"/>
        <v>1000</v>
      </c>
      <c r="AC13" s="42">
        <f t="shared" si="7"/>
        <v>12000</v>
      </c>
      <c r="AD13" s="41">
        <f t="shared" si="12"/>
        <v>25970</v>
      </c>
      <c r="AE13" s="45">
        <v>26980</v>
      </c>
      <c r="AF13" s="47">
        <f t="shared" si="8"/>
        <v>1010</v>
      </c>
      <c r="AG13" s="46">
        <f t="shared" si="9"/>
        <v>12120</v>
      </c>
      <c r="AH13" s="41">
        <f t="shared" si="0"/>
        <v>26980</v>
      </c>
      <c r="AI13" s="45">
        <v>28030</v>
      </c>
      <c r="AJ13" s="47">
        <f t="shared" si="10"/>
        <v>1050</v>
      </c>
      <c r="AK13" s="46">
        <f t="shared" si="11"/>
        <v>12600</v>
      </c>
      <c r="AL13" s="39"/>
      <c r="AM13" s="44"/>
      <c r="AN13" s="44"/>
      <c r="AO13" s="44"/>
      <c r="AP13" s="44"/>
      <c r="AQ13" s="44"/>
      <c r="AR13" s="44"/>
      <c r="AS13" s="44"/>
      <c r="AT13" s="44"/>
      <c r="AU13" s="44"/>
    </row>
    <row r="14" spans="1:47" ht="21" customHeight="1" x14ac:dyDescent="0.5">
      <c r="A14" s="12">
        <v>6</v>
      </c>
      <c r="B14" s="7" t="s">
        <v>50</v>
      </c>
      <c r="C14" s="20" t="s">
        <v>46</v>
      </c>
      <c r="D14" s="12">
        <v>1</v>
      </c>
      <c r="E14" s="12">
        <v>1</v>
      </c>
      <c r="F14" s="15">
        <f>SUM(24490*12)</f>
        <v>293880</v>
      </c>
      <c r="G14" s="55">
        <v>1</v>
      </c>
      <c r="H14" s="55">
        <v>1</v>
      </c>
      <c r="I14" s="55">
        <v>1</v>
      </c>
      <c r="J14" s="70" t="s">
        <v>37</v>
      </c>
      <c r="K14" s="70" t="s">
        <v>37</v>
      </c>
      <c r="L14" s="70" t="s">
        <v>37</v>
      </c>
      <c r="M14" s="70">
        <f>980*12</f>
        <v>11760</v>
      </c>
      <c r="N14" s="69">
        <f>990*12</f>
        <v>11880</v>
      </c>
      <c r="O14" s="69">
        <f>SUM(AK14)</f>
        <v>12240</v>
      </c>
      <c r="P14" s="70">
        <f t="shared" si="1"/>
        <v>305640</v>
      </c>
      <c r="Q14" s="15">
        <f t="shared" si="2"/>
        <v>305760</v>
      </c>
      <c r="R14" s="15">
        <f t="shared" si="3"/>
        <v>293887</v>
      </c>
      <c r="S14" s="120"/>
      <c r="W14" s="29" t="s">
        <v>50</v>
      </c>
      <c r="X14" s="45">
        <v>24490</v>
      </c>
      <c r="Y14" s="46">
        <f t="shared" si="4"/>
        <v>293880</v>
      </c>
      <c r="Z14" s="41">
        <f t="shared" si="5"/>
        <v>24490</v>
      </c>
      <c r="AA14" s="45">
        <v>25470</v>
      </c>
      <c r="AB14" s="43">
        <f t="shared" si="6"/>
        <v>980</v>
      </c>
      <c r="AC14" s="42">
        <f t="shared" si="7"/>
        <v>11760</v>
      </c>
      <c r="AD14" s="41">
        <f t="shared" si="12"/>
        <v>25470</v>
      </c>
      <c r="AE14" s="45">
        <v>26460</v>
      </c>
      <c r="AF14" s="47">
        <f t="shared" si="8"/>
        <v>990</v>
      </c>
      <c r="AG14" s="46">
        <f t="shared" si="9"/>
        <v>11880</v>
      </c>
      <c r="AH14" s="41">
        <f t="shared" si="0"/>
        <v>26460</v>
      </c>
      <c r="AI14" s="45">
        <v>27480</v>
      </c>
      <c r="AJ14" s="47">
        <f t="shared" si="10"/>
        <v>1020</v>
      </c>
      <c r="AK14" s="46">
        <f t="shared" si="11"/>
        <v>12240</v>
      </c>
      <c r="AL14" s="39"/>
      <c r="AM14" s="44"/>
      <c r="AN14" s="44"/>
      <c r="AO14" s="44"/>
      <c r="AP14" s="44"/>
      <c r="AQ14" s="44"/>
      <c r="AR14" s="44"/>
      <c r="AS14" s="44"/>
      <c r="AT14" s="44"/>
      <c r="AU14" s="44"/>
    </row>
    <row r="15" spans="1:47" ht="21" customHeight="1" x14ac:dyDescent="0.5">
      <c r="A15" s="12">
        <v>7</v>
      </c>
      <c r="B15" s="62" t="s">
        <v>51</v>
      </c>
      <c r="C15" s="20" t="s">
        <v>52</v>
      </c>
      <c r="D15" s="12">
        <v>1</v>
      </c>
      <c r="E15" s="12">
        <v>1</v>
      </c>
      <c r="F15" s="15">
        <f>SUM(26580*12)</f>
        <v>318960</v>
      </c>
      <c r="G15" s="55">
        <v>1</v>
      </c>
      <c r="H15" s="55">
        <v>1</v>
      </c>
      <c r="I15" s="55">
        <v>1</v>
      </c>
      <c r="J15" s="70" t="s">
        <v>37</v>
      </c>
      <c r="K15" s="70" t="s">
        <v>37</v>
      </c>
      <c r="L15" s="70" t="s">
        <v>37</v>
      </c>
      <c r="M15" s="70">
        <f>910*12</f>
        <v>10920</v>
      </c>
      <c r="N15" s="69">
        <f>940*12</f>
        <v>11280</v>
      </c>
      <c r="O15" s="69">
        <f>910*12</f>
        <v>10920</v>
      </c>
      <c r="P15" s="70">
        <f t="shared" si="1"/>
        <v>329880</v>
      </c>
      <c r="Q15" s="15">
        <f t="shared" si="2"/>
        <v>330240</v>
      </c>
      <c r="R15" s="15">
        <f t="shared" si="3"/>
        <v>318967</v>
      </c>
      <c r="S15" s="35"/>
      <c r="W15" s="172" t="s">
        <v>51</v>
      </c>
      <c r="X15" s="45">
        <v>26580</v>
      </c>
      <c r="Y15" s="46">
        <f t="shared" si="4"/>
        <v>318960</v>
      </c>
      <c r="Z15" s="41">
        <f t="shared" si="5"/>
        <v>26580</v>
      </c>
      <c r="AA15" s="45">
        <v>27490</v>
      </c>
      <c r="AB15" s="43">
        <f t="shared" si="6"/>
        <v>910</v>
      </c>
      <c r="AC15" s="42">
        <f t="shared" si="7"/>
        <v>10920</v>
      </c>
      <c r="AD15" s="41">
        <f t="shared" si="12"/>
        <v>27490</v>
      </c>
      <c r="AE15" s="45">
        <v>28430</v>
      </c>
      <c r="AF15" s="47">
        <f t="shared" si="8"/>
        <v>940</v>
      </c>
      <c r="AG15" s="46">
        <f t="shared" si="9"/>
        <v>11280</v>
      </c>
      <c r="AH15" s="41">
        <f t="shared" si="0"/>
        <v>28430</v>
      </c>
      <c r="AI15" s="45">
        <v>29340</v>
      </c>
      <c r="AJ15" s="47">
        <f t="shared" si="10"/>
        <v>910</v>
      </c>
      <c r="AK15" s="46">
        <f t="shared" si="11"/>
        <v>10920</v>
      </c>
      <c r="AL15" s="39"/>
      <c r="AM15" s="44"/>
      <c r="AN15" s="44"/>
      <c r="AO15" s="44"/>
      <c r="AP15" s="44"/>
      <c r="AQ15" s="44"/>
      <c r="AR15" s="44"/>
      <c r="AS15" s="44"/>
      <c r="AT15" s="44"/>
      <c r="AU15" s="44"/>
    </row>
    <row r="16" spans="1:47" ht="21" customHeight="1" x14ac:dyDescent="0.5">
      <c r="A16" s="12">
        <v>8</v>
      </c>
      <c r="B16" s="7" t="s">
        <v>53</v>
      </c>
      <c r="C16" s="20" t="s">
        <v>54</v>
      </c>
      <c r="D16" s="12">
        <v>1</v>
      </c>
      <c r="E16" s="12">
        <v>1</v>
      </c>
      <c r="F16" s="15">
        <f>SUM(17570*12)</f>
        <v>210840</v>
      </c>
      <c r="G16" s="55">
        <v>1</v>
      </c>
      <c r="H16" s="55">
        <v>1</v>
      </c>
      <c r="I16" s="55">
        <v>1</v>
      </c>
      <c r="J16" s="70" t="s">
        <v>37</v>
      </c>
      <c r="K16" s="70" t="s">
        <v>37</v>
      </c>
      <c r="L16" s="70" t="s">
        <v>37</v>
      </c>
      <c r="M16" s="70">
        <f>620*12</f>
        <v>7440</v>
      </c>
      <c r="N16" s="69">
        <f>600*12</f>
        <v>7200</v>
      </c>
      <c r="O16" s="69">
        <f>620*12</f>
        <v>7440</v>
      </c>
      <c r="P16" s="70">
        <f t="shared" si="1"/>
        <v>218280</v>
      </c>
      <c r="Q16" s="15">
        <f t="shared" si="2"/>
        <v>218040</v>
      </c>
      <c r="R16" s="15">
        <f t="shared" si="3"/>
        <v>210847</v>
      </c>
      <c r="S16" s="33"/>
      <c r="W16" s="29" t="s">
        <v>53</v>
      </c>
      <c r="X16" s="45">
        <v>17570</v>
      </c>
      <c r="Y16" s="46">
        <f t="shared" si="4"/>
        <v>210840</v>
      </c>
      <c r="Z16" s="41">
        <f t="shared" si="5"/>
        <v>17570</v>
      </c>
      <c r="AA16" s="45">
        <v>18190</v>
      </c>
      <c r="AB16" s="43">
        <f t="shared" si="6"/>
        <v>620</v>
      </c>
      <c r="AC16" s="42">
        <f t="shared" si="7"/>
        <v>7440</v>
      </c>
      <c r="AD16" s="41">
        <f t="shared" si="12"/>
        <v>18190</v>
      </c>
      <c r="AE16" s="45">
        <v>18790</v>
      </c>
      <c r="AF16" s="47">
        <f t="shared" si="8"/>
        <v>600</v>
      </c>
      <c r="AG16" s="46">
        <f t="shared" si="9"/>
        <v>7200</v>
      </c>
      <c r="AH16" s="41">
        <f t="shared" si="0"/>
        <v>18790</v>
      </c>
      <c r="AI16" s="45">
        <v>19410</v>
      </c>
      <c r="AJ16" s="47">
        <f t="shared" si="10"/>
        <v>620</v>
      </c>
      <c r="AK16" s="46">
        <f t="shared" si="11"/>
        <v>7440</v>
      </c>
      <c r="AL16" s="39"/>
      <c r="AM16" s="44"/>
      <c r="AN16" s="44"/>
      <c r="AO16" s="44"/>
      <c r="AP16" s="44"/>
      <c r="AQ16" s="44"/>
      <c r="AR16" s="44"/>
      <c r="AS16" s="44"/>
      <c r="AT16" s="44"/>
      <c r="AU16" s="44"/>
    </row>
    <row r="17" spans="1:47" ht="21" customHeight="1" x14ac:dyDescent="0.5">
      <c r="A17" s="12"/>
      <c r="B17" s="27" t="s">
        <v>55</v>
      </c>
      <c r="C17" s="20"/>
      <c r="D17" s="12"/>
      <c r="E17" s="12"/>
      <c r="F17" s="16"/>
      <c r="G17" s="55"/>
      <c r="H17" s="55"/>
      <c r="I17" s="55"/>
      <c r="J17" s="70"/>
      <c r="K17" s="70"/>
      <c r="L17" s="70"/>
      <c r="M17" s="69"/>
      <c r="N17" s="69"/>
      <c r="O17" s="69"/>
      <c r="P17" s="15"/>
      <c r="Q17" s="15"/>
      <c r="R17" s="15"/>
      <c r="S17" s="33"/>
      <c r="W17" s="173" t="s">
        <v>55</v>
      </c>
      <c r="X17" s="45"/>
      <c r="Y17" s="45"/>
      <c r="Z17" s="45"/>
      <c r="AA17" s="45"/>
      <c r="AB17" s="38"/>
      <c r="AC17" s="38"/>
      <c r="AD17" s="41">
        <f t="shared" si="12"/>
        <v>0</v>
      </c>
      <c r="AE17" s="45"/>
      <c r="AF17" s="38"/>
      <c r="AG17" s="38"/>
      <c r="AH17" s="38"/>
      <c r="AI17" s="38"/>
      <c r="AJ17" s="38"/>
      <c r="AK17" s="45"/>
      <c r="AL17" s="39"/>
      <c r="AM17" s="44"/>
      <c r="AN17" s="44"/>
      <c r="AO17" s="44"/>
      <c r="AP17" s="44"/>
      <c r="AQ17" s="44"/>
      <c r="AR17" s="44"/>
      <c r="AS17" s="44"/>
      <c r="AT17" s="44"/>
      <c r="AU17" s="44"/>
    </row>
    <row r="18" spans="1:47" ht="21" customHeight="1" x14ac:dyDescent="0.5">
      <c r="A18" s="12">
        <v>9</v>
      </c>
      <c r="B18" s="7" t="s">
        <v>53</v>
      </c>
      <c r="C18" s="20" t="s">
        <v>37</v>
      </c>
      <c r="D18" s="12">
        <v>1</v>
      </c>
      <c r="E18" s="12">
        <v>1</v>
      </c>
      <c r="F18" s="15">
        <f>SUM(15140*12)</f>
        <v>181680</v>
      </c>
      <c r="G18" s="55">
        <v>1</v>
      </c>
      <c r="H18" s="55">
        <v>1</v>
      </c>
      <c r="I18" s="55">
        <v>1</v>
      </c>
      <c r="J18" s="70" t="s">
        <v>37</v>
      </c>
      <c r="K18" s="70" t="s">
        <v>37</v>
      </c>
      <c r="L18" s="70" t="s">
        <v>37</v>
      </c>
      <c r="M18" s="70">
        <f>580*12</f>
        <v>6960</v>
      </c>
      <c r="N18" s="69">
        <f>620*12</f>
        <v>7440</v>
      </c>
      <c r="O18" s="69">
        <f>620*12</f>
        <v>7440</v>
      </c>
      <c r="P18" s="70">
        <f>SUM(F18+M18)</f>
        <v>188640</v>
      </c>
      <c r="Q18" s="15">
        <f>SUM(F18+N18)</f>
        <v>189120</v>
      </c>
      <c r="R18" s="15">
        <f>SUM(F18+7)</f>
        <v>181687</v>
      </c>
      <c r="S18" s="33"/>
      <c r="W18" s="7" t="s">
        <v>53</v>
      </c>
      <c r="X18" s="45">
        <v>15140</v>
      </c>
      <c r="Y18" s="71">
        <f>SUM(X18*12)</f>
        <v>181680</v>
      </c>
      <c r="Z18" s="41">
        <f t="shared" ref="Z18:Z23" si="13">SUM(X18)</f>
        <v>15140</v>
      </c>
      <c r="AA18" s="45">
        <v>15720</v>
      </c>
      <c r="AB18" s="43">
        <f t="shared" ref="AB18:AB23" si="14">SUM(AA18-Z18)</f>
        <v>580</v>
      </c>
      <c r="AC18" s="42">
        <f t="shared" ref="AC18:AC23" si="15">SUM(AB18*12)</f>
        <v>6960</v>
      </c>
      <c r="AD18" s="41">
        <f t="shared" si="12"/>
        <v>15720</v>
      </c>
      <c r="AE18" s="45">
        <v>16340</v>
      </c>
      <c r="AF18" s="47">
        <f>SUM(AE18-AD18)</f>
        <v>620</v>
      </c>
      <c r="AG18" s="46">
        <f>SUM(AF18*12)</f>
        <v>7440</v>
      </c>
      <c r="AH18" s="41">
        <f t="shared" si="0"/>
        <v>16340</v>
      </c>
      <c r="AI18" s="45">
        <v>16960</v>
      </c>
      <c r="AJ18" s="47">
        <f>SUM(AI18-AH18)</f>
        <v>620</v>
      </c>
      <c r="AK18" s="46">
        <f>SUM(AJ18*12)</f>
        <v>7440</v>
      </c>
      <c r="AL18" s="46"/>
      <c r="AM18" s="46">
        <f>SUM(X18)</f>
        <v>15140</v>
      </c>
      <c r="AN18" s="49">
        <f>SUM(AM18*4/100)</f>
        <v>605.6</v>
      </c>
      <c r="AO18" s="44">
        <v>530</v>
      </c>
      <c r="AP18" s="50">
        <f>SUM(AM18+AO18)</f>
        <v>15670</v>
      </c>
      <c r="AQ18" s="51">
        <f>SUM(AP18*4/100)</f>
        <v>626.79999999999995</v>
      </c>
      <c r="AR18" s="44">
        <v>560</v>
      </c>
      <c r="AS18" s="50">
        <f>SUM(AP18+AR18)</f>
        <v>16230</v>
      </c>
      <c r="AT18" s="51">
        <f>SUM(AS18*4/100)</f>
        <v>649.20000000000005</v>
      </c>
      <c r="AU18" s="44">
        <v>580</v>
      </c>
    </row>
    <row r="19" spans="1:47" ht="21" customHeight="1" x14ac:dyDescent="0.5">
      <c r="A19" s="12"/>
      <c r="B19" s="36" t="s">
        <v>56</v>
      </c>
      <c r="C19" s="20"/>
      <c r="D19" s="12"/>
      <c r="E19" s="12"/>
      <c r="F19" s="14"/>
      <c r="G19" s="55"/>
      <c r="H19" s="55"/>
      <c r="I19" s="55"/>
      <c r="J19" s="70"/>
      <c r="K19" s="70"/>
      <c r="L19" s="70"/>
      <c r="M19" s="69"/>
      <c r="N19" s="69"/>
      <c r="O19" s="69"/>
      <c r="P19" s="15"/>
      <c r="Q19" s="15"/>
      <c r="R19" s="15"/>
      <c r="S19" s="33"/>
      <c r="W19" s="36" t="s">
        <v>56</v>
      </c>
      <c r="X19" s="45"/>
      <c r="Y19" s="46"/>
      <c r="Z19" s="41"/>
      <c r="AA19" s="45"/>
      <c r="AB19" s="43">
        <f t="shared" si="14"/>
        <v>0</v>
      </c>
      <c r="AC19" s="42">
        <f t="shared" si="15"/>
        <v>0</v>
      </c>
      <c r="AD19" s="41"/>
      <c r="AE19" s="59"/>
      <c r="AF19" s="57"/>
      <c r="AG19" s="58"/>
      <c r="AH19" s="41">
        <f t="shared" si="0"/>
        <v>0</v>
      </c>
      <c r="AI19" s="59"/>
      <c r="AJ19" s="57"/>
      <c r="AK19" s="58"/>
      <c r="AL19" s="46"/>
      <c r="AM19" s="46"/>
      <c r="AN19" s="49"/>
      <c r="AO19" s="44"/>
      <c r="AP19" s="50"/>
      <c r="AQ19" s="51"/>
      <c r="AR19" s="44"/>
      <c r="AS19" s="50"/>
      <c r="AT19" s="51"/>
      <c r="AU19" s="44"/>
    </row>
    <row r="20" spans="1:47" ht="21" customHeight="1" x14ac:dyDescent="0.5">
      <c r="A20" s="12">
        <v>10</v>
      </c>
      <c r="B20" s="7" t="s">
        <v>57</v>
      </c>
      <c r="C20" s="20" t="s">
        <v>37</v>
      </c>
      <c r="D20" s="12">
        <v>1</v>
      </c>
      <c r="E20" s="12">
        <v>1</v>
      </c>
      <c r="F20" s="15">
        <f>13285*12</f>
        <v>159420</v>
      </c>
      <c r="G20" s="55">
        <v>1</v>
      </c>
      <c r="H20" s="55">
        <v>1</v>
      </c>
      <c r="I20" s="55">
        <v>1</v>
      </c>
      <c r="J20" s="70" t="s">
        <v>37</v>
      </c>
      <c r="K20" s="70" t="s">
        <v>37</v>
      </c>
      <c r="L20" s="70" t="s">
        <v>37</v>
      </c>
      <c r="M20" s="70">
        <v>5160</v>
      </c>
      <c r="N20" s="69">
        <v>5280</v>
      </c>
      <c r="O20" s="69">
        <f>460*12</f>
        <v>5520</v>
      </c>
      <c r="P20" s="70">
        <f>SUM(F20+M20)</f>
        <v>164580</v>
      </c>
      <c r="Q20" s="15">
        <f>SUM(F20+N20)</f>
        <v>164700</v>
      </c>
      <c r="R20" s="15">
        <f>SUM(F20+7)</f>
        <v>159427</v>
      </c>
      <c r="S20" s="33"/>
      <c r="W20" s="7" t="s">
        <v>57</v>
      </c>
      <c r="X20" s="45">
        <v>10580</v>
      </c>
      <c r="Y20" s="71">
        <f t="shared" ref="Y20:Y26" si="16">SUM(X20*12)</f>
        <v>126960</v>
      </c>
      <c r="Z20" s="41">
        <f t="shared" si="13"/>
        <v>10580</v>
      </c>
      <c r="AA20" s="45">
        <v>0</v>
      </c>
      <c r="AB20" s="43">
        <f>430*12</f>
        <v>5160</v>
      </c>
      <c r="AC20" s="42">
        <f t="shared" si="15"/>
        <v>61920</v>
      </c>
      <c r="AD20" s="41">
        <f>SUM(AA20)</f>
        <v>0</v>
      </c>
      <c r="AE20" s="41">
        <f>SUM(AD20*4/100)+AD20</f>
        <v>0</v>
      </c>
      <c r="AF20" s="47">
        <f>SUM(AE20-AD20)</f>
        <v>0</v>
      </c>
      <c r="AG20" s="46">
        <f>SUM(AF20*12)</f>
        <v>0</v>
      </c>
      <c r="AH20" s="41">
        <f t="shared" si="0"/>
        <v>0</v>
      </c>
      <c r="AI20" s="59"/>
      <c r="AJ20" s="57"/>
      <c r="AK20" s="58"/>
      <c r="AL20" s="46"/>
      <c r="AM20" s="46">
        <f t="shared" ref="AM20:AM26" si="17">SUM(X20)</f>
        <v>10580</v>
      </c>
      <c r="AN20" s="49">
        <f>SUM(AM20*4/100)</f>
        <v>423.2</v>
      </c>
      <c r="AO20" s="44">
        <v>410</v>
      </c>
      <c r="AP20" s="50">
        <f>SUM(AM20+AO20)</f>
        <v>10990</v>
      </c>
      <c r="AQ20" s="51">
        <f>SUM(AP20*4/100)</f>
        <v>439.6</v>
      </c>
      <c r="AR20" s="44">
        <v>430</v>
      </c>
      <c r="AS20" s="50">
        <f>SUM(AP20+AR20)</f>
        <v>11420</v>
      </c>
      <c r="AT20" s="51">
        <f>SUM(AS20*4/100)</f>
        <v>456.8</v>
      </c>
      <c r="AU20" s="44">
        <v>450</v>
      </c>
    </row>
    <row r="21" spans="1:47" ht="21" customHeight="1" x14ac:dyDescent="0.5">
      <c r="A21" s="12">
        <v>11</v>
      </c>
      <c r="B21" s="7" t="s">
        <v>58</v>
      </c>
      <c r="C21" s="20" t="s">
        <v>37</v>
      </c>
      <c r="D21" s="12">
        <v>1</v>
      </c>
      <c r="E21" s="12">
        <v>1</v>
      </c>
      <c r="F21" s="15">
        <f>SUM(13285*12)</f>
        <v>159420</v>
      </c>
      <c r="G21" s="55">
        <v>1</v>
      </c>
      <c r="H21" s="55">
        <v>1</v>
      </c>
      <c r="I21" s="55">
        <v>1</v>
      </c>
      <c r="J21" s="70" t="s">
        <v>37</v>
      </c>
      <c r="K21" s="70" t="s">
        <v>37</v>
      </c>
      <c r="L21" s="70" t="s">
        <v>37</v>
      </c>
      <c r="M21" s="70">
        <v>5760</v>
      </c>
      <c r="N21" s="69">
        <v>6000</v>
      </c>
      <c r="O21" s="69">
        <f>520*12</f>
        <v>6240</v>
      </c>
      <c r="P21" s="70">
        <f>SUM(F21+M21)</f>
        <v>165180</v>
      </c>
      <c r="Q21" s="15">
        <f>SUM(F21+N21)</f>
        <v>165420</v>
      </c>
      <c r="R21" s="15">
        <f>SUM(F21+7)</f>
        <v>159427</v>
      </c>
      <c r="S21" s="33"/>
      <c r="W21" s="7" t="s">
        <v>58</v>
      </c>
      <c r="X21" s="45">
        <v>11990</v>
      </c>
      <c r="Y21" s="71">
        <f t="shared" si="16"/>
        <v>143880</v>
      </c>
      <c r="Z21" s="41">
        <f t="shared" si="13"/>
        <v>11990</v>
      </c>
      <c r="AA21" s="45"/>
      <c r="AB21" s="43">
        <f t="shared" si="14"/>
        <v>-11990</v>
      </c>
      <c r="AC21" s="42">
        <f t="shared" si="15"/>
        <v>-143880</v>
      </c>
      <c r="AD21" s="41">
        <f>SUM(AA21)</f>
        <v>0</v>
      </c>
      <c r="AE21" s="41">
        <f>SUM(AD21*4/100)+AD21</f>
        <v>0</v>
      </c>
      <c r="AF21" s="47">
        <f>SUM(AE21-AD21)</f>
        <v>0</v>
      </c>
      <c r="AG21" s="46">
        <f>SUM(AF21*12)</f>
        <v>0</v>
      </c>
      <c r="AH21" s="41">
        <f t="shared" si="0"/>
        <v>0</v>
      </c>
      <c r="AI21" s="59"/>
      <c r="AJ21" s="57"/>
      <c r="AK21" s="58"/>
      <c r="AL21" s="46"/>
      <c r="AM21" s="46">
        <f t="shared" si="17"/>
        <v>11990</v>
      </c>
      <c r="AN21" s="49">
        <f>SUM(AM21*4/100)</f>
        <v>479.6</v>
      </c>
      <c r="AO21" s="44">
        <v>470</v>
      </c>
      <c r="AP21" s="50">
        <f>SUM(AM21+AO21)</f>
        <v>12460</v>
      </c>
      <c r="AQ21" s="51">
        <f>SUM(AP21*4/100)</f>
        <v>498.4</v>
      </c>
      <c r="AR21" s="44">
        <v>490</v>
      </c>
      <c r="AS21" s="50">
        <f>SUM(AP21+AR21)</f>
        <v>12950</v>
      </c>
      <c r="AT21" s="51">
        <f>SUM(AS21*4/100)</f>
        <v>518</v>
      </c>
      <c r="AU21" s="44">
        <v>490</v>
      </c>
    </row>
    <row r="22" spans="1:47" ht="21" customHeight="1" x14ac:dyDescent="0.5">
      <c r="A22" s="12">
        <v>12</v>
      </c>
      <c r="B22" s="7" t="s">
        <v>59</v>
      </c>
      <c r="C22" s="20" t="s">
        <v>37</v>
      </c>
      <c r="D22" s="12">
        <v>1</v>
      </c>
      <c r="E22" s="12">
        <v>1</v>
      </c>
      <c r="F22" s="15">
        <f>SUM(13285*12)</f>
        <v>159420</v>
      </c>
      <c r="G22" s="55">
        <v>1</v>
      </c>
      <c r="H22" s="55">
        <v>1</v>
      </c>
      <c r="I22" s="55">
        <v>1</v>
      </c>
      <c r="J22" s="70" t="s">
        <v>37</v>
      </c>
      <c r="K22" s="70" t="s">
        <v>37</v>
      </c>
      <c r="L22" s="70" t="s">
        <v>37</v>
      </c>
      <c r="M22" s="70">
        <v>5640</v>
      </c>
      <c r="N22" s="69">
        <v>5880</v>
      </c>
      <c r="O22" s="69">
        <f>510*12</f>
        <v>6120</v>
      </c>
      <c r="P22" s="70">
        <f>SUM(F22+M22)</f>
        <v>165060</v>
      </c>
      <c r="Q22" s="15">
        <f>SUM(F22+N22)</f>
        <v>165300</v>
      </c>
      <c r="R22" s="15">
        <f>SUM(F22+7)</f>
        <v>159427</v>
      </c>
      <c r="S22" s="33"/>
      <c r="W22" s="7" t="s">
        <v>59</v>
      </c>
      <c r="X22" s="45">
        <v>11590</v>
      </c>
      <c r="Y22" s="71">
        <f t="shared" si="16"/>
        <v>139080</v>
      </c>
      <c r="Z22" s="41">
        <f t="shared" si="13"/>
        <v>11590</v>
      </c>
      <c r="AA22" s="45"/>
      <c r="AB22" s="43">
        <f t="shared" si="14"/>
        <v>-11590</v>
      </c>
      <c r="AC22" s="42">
        <f t="shared" si="15"/>
        <v>-139080</v>
      </c>
      <c r="AD22" s="41">
        <f>SUM(AA22)</f>
        <v>0</v>
      </c>
      <c r="AE22" s="41">
        <f>SUM(AD22*4/100)+AD22</f>
        <v>0</v>
      </c>
      <c r="AF22" s="47">
        <f>SUM(AE22-AD22)</f>
        <v>0</v>
      </c>
      <c r="AG22" s="46">
        <f>SUM(AF22*12)</f>
        <v>0</v>
      </c>
      <c r="AH22" s="41">
        <f t="shared" si="0"/>
        <v>0</v>
      </c>
      <c r="AI22" s="59"/>
      <c r="AJ22" s="57"/>
      <c r="AK22" s="58"/>
      <c r="AL22" s="46"/>
      <c r="AM22" s="46">
        <f t="shared" si="17"/>
        <v>11590</v>
      </c>
      <c r="AN22" s="49">
        <f>SUM(AM22*4/100)</f>
        <v>463.6</v>
      </c>
      <c r="AO22" s="44">
        <v>450</v>
      </c>
      <c r="AP22" s="50">
        <f>SUM(AM22+AO22)</f>
        <v>12040</v>
      </c>
      <c r="AQ22" s="51">
        <f>SUM(AP22*4/100)</f>
        <v>481.6</v>
      </c>
      <c r="AR22" s="44">
        <v>470</v>
      </c>
      <c r="AS22" s="50">
        <f>SUM(AP22+AR22)</f>
        <v>12510</v>
      </c>
      <c r="AT22" s="51">
        <f>SUM(AS22*4/100)</f>
        <v>500.4</v>
      </c>
      <c r="AU22" s="44">
        <v>490</v>
      </c>
    </row>
    <row r="23" spans="1:47" ht="21" customHeight="1" x14ac:dyDescent="0.5">
      <c r="A23" s="12">
        <v>13</v>
      </c>
      <c r="B23" s="7" t="s">
        <v>60</v>
      </c>
      <c r="C23" s="20" t="s">
        <v>37</v>
      </c>
      <c r="D23" s="12">
        <v>1</v>
      </c>
      <c r="E23" s="12">
        <v>1</v>
      </c>
      <c r="F23" s="15">
        <f>SUM(13285*12)</f>
        <v>159420</v>
      </c>
      <c r="G23" s="55">
        <v>1</v>
      </c>
      <c r="H23" s="55">
        <v>1</v>
      </c>
      <c r="I23" s="55">
        <v>1</v>
      </c>
      <c r="J23" s="70" t="s">
        <v>37</v>
      </c>
      <c r="K23" s="70" t="s">
        <v>37</v>
      </c>
      <c r="L23" s="70" t="s">
        <v>37</v>
      </c>
      <c r="M23" s="70">
        <v>6120</v>
      </c>
      <c r="N23" s="69">
        <v>6360</v>
      </c>
      <c r="O23" s="69">
        <f>560*12</f>
        <v>6720</v>
      </c>
      <c r="P23" s="70">
        <f>SUM(F23+M23)</f>
        <v>165540</v>
      </c>
      <c r="Q23" s="15">
        <f>SUM(F23+N23)</f>
        <v>165780</v>
      </c>
      <c r="R23" s="15">
        <f>SUM(F23+7)</f>
        <v>159427</v>
      </c>
      <c r="S23" s="33"/>
      <c r="W23" s="7" t="s">
        <v>61</v>
      </c>
      <c r="X23" s="45">
        <v>12740</v>
      </c>
      <c r="Y23" s="71">
        <f t="shared" si="16"/>
        <v>152880</v>
      </c>
      <c r="Z23" s="41">
        <f t="shared" si="13"/>
        <v>12740</v>
      </c>
      <c r="AA23" s="45"/>
      <c r="AB23" s="43">
        <f t="shared" si="14"/>
        <v>-12740</v>
      </c>
      <c r="AC23" s="42">
        <f t="shared" si="15"/>
        <v>-152880</v>
      </c>
      <c r="AD23" s="41">
        <f>SUM(AA23)</f>
        <v>0</v>
      </c>
      <c r="AE23" s="41">
        <f>SUM(AD23*4/100)+AD23</f>
        <v>0</v>
      </c>
      <c r="AF23" s="47">
        <f>SUM(AE23-AD23)</f>
        <v>0</v>
      </c>
      <c r="AG23" s="46">
        <f>SUM(AF23*12)</f>
        <v>0</v>
      </c>
      <c r="AH23" s="41">
        <f t="shared" si="0"/>
        <v>0</v>
      </c>
      <c r="AI23" s="59"/>
      <c r="AJ23" s="57"/>
      <c r="AK23" s="58"/>
      <c r="AL23" s="46"/>
      <c r="AM23" s="46">
        <f t="shared" si="17"/>
        <v>12740</v>
      </c>
      <c r="AN23" s="49">
        <f>SUM(AM23*4/100)</f>
        <v>509.6</v>
      </c>
      <c r="AO23" s="44">
        <v>490</v>
      </c>
      <c r="AP23" s="50">
        <f>SUM(AM23+AO23)</f>
        <v>13230</v>
      </c>
      <c r="AQ23" s="51">
        <f>SUM(AP23*4/100)</f>
        <v>529.20000000000005</v>
      </c>
      <c r="AR23" s="44">
        <v>510</v>
      </c>
      <c r="AS23" s="50">
        <f>SUM(AP23+AR23)</f>
        <v>13740</v>
      </c>
      <c r="AT23" s="51">
        <f>SUM(AS23*4/100)</f>
        <v>549.6</v>
      </c>
      <c r="AU23" s="44">
        <v>530</v>
      </c>
    </row>
    <row r="24" spans="1:47" ht="21" customHeight="1" x14ac:dyDescent="0.5">
      <c r="A24" s="12">
        <v>14</v>
      </c>
      <c r="B24" s="7" t="s">
        <v>60</v>
      </c>
      <c r="C24" s="20" t="s">
        <v>37</v>
      </c>
      <c r="D24" s="12">
        <v>1</v>
      </c>
      <c r="E24" s="12" t="s">
        <v>62</v>
      </c>
      <c r="F24" s="14">
        <f>9000*12</f>
        <v>108000</v>
      </c>
      <c r="G24" s="55">
        <v>1</v>
      </c>
      <c r="H24" s="55">
        <v>1</v>
      </c>
      <c r="I24" s="55">
        <v>1</v>
      </c>
      <c r="J24" s="70" t="s">
        <v>37</v>
      </c>
      <c r="K24" s="70" t="s">
        <v>37</v>
      </c>
      <c r="L24" s="70" t="s">
        <v>37</v>
      </c>
      <c r="M24" s="70">
        <f>360*12</f>
        <v>4320</v>
      </c>
      <c r="N24" s="70">
        <f>380*12</f>
        <v>4560</v>
      </c>
      <c r="O24" s="70">
        <f>390*12</f>
        <v>4680</v>
      </c>
      <c r="P24" s="70">
        <f>SUM(F24+M24)</f>
        <v>112320</v>
      </c>
      <c r="Q24" s="15">
        <f>SUM(F24+N24)</f>
        <v>112560</v>
      </c>
      <c r="R24" s="15">
        <f>SUM(F24+7)</f>
        <v>108007</v>
      </c>
      <c r="S24" s="176" t="s">
        <v>63</v>
      </c>
      <c r="W24" s="7" t="s">
        <v>64</v>
      </c>
      <c r="X24" s="45"/>
      <c r="Y24" s="71">
        <f t="shared" si="16"/>
        <v>0</v>
      </c>
      <c r="Z24" s="45"/>
      <c r="AA24" s="45"/>
      <c r="AB24" s="57"/>
      <c r="AC24" s="58"/>
      <c r="AD24" s="41">
        <f>SUM(X24)</f>
        <v>0</v>
      </c>
      <c r="AE24" s="41">
        <f>SUM(AD24*4/100)+AD24</f>
        <v>0</v>
      </c>
      <c r="AF24" s="47">
        <f>SUM(AE24-AD24)</f>
        <v>0</v>
      </c>
      <c r="AG24" s="46">
        <f>SUM(AF24*12)</f>
        <v>0</v>
      </c>
      <c r="AH24" s="41">
        <f t="shared" si="0"/>
        <v>0</v>
      </c>
      <c r="AI24" s="59"/>
      <c r="AJ24" s="57"/>
      <c r="AK24" s="58"/>
      <c r="AL24" s="46"/>
      <c r="AM24" s="46">
        <f t="shared" si="17"/>
        <v>0</v>
      </c>
      <c r="AN24" s="49">
        <f>SUM(AM24*4/100)</f>
        <v>0</v>
      </c>
      <c r="AO24" s="44">
        <v>440</v>
      </c>
      <c r="AP24" s="50">
        <f>SUM(AM24+AO24)</f>
        <v>440</v>
      </c>
      <c r="AQ24" s="51">
        <f>SUM(AP24*4/100)</f>
        <v>17.600000000000001</v>
      </c>
      <c r="AR24" s="44">
        <v>460</v>
      </c>
      <c r="AS24" s="50">
        <f>SUM(AP24+AR24)</f>
        <v>900</v>
      </c>
      <c r="AT24" s="51">
        <f>SUM(AS24*4/100)</f>
        <v>36</v>
      </c>
      <c r="AU24" s="44">
        <v>470</v>
      </c>
    </row>
    <row r="25" spans="1:47" ht="21.75" customHeight="1" x14ac:dyDescent="0.5">
      <c r="A25" s="12"/>
      <c r="B25" s="36" t="s">
        <v>65</v>
      </c>
      <c r="C25" s="20"/>
      <c r="D25" s="12"/>
      <c r="E25" s="12"/>
      <c r="F25" s="15"/>
      <c r="G25" s="55"/>
      <c r="H25" s="55"/>
      <c r="I25" s="55"/>
      <c r="J25" s="70"/>
      <c r="K25" s="70"/>
      <c r="L25" s="70"/>
      <c r="M25" s="69"/>
      <c r="N25" s="69"/>
      <c r="O25" s="69"/>
      <c r="P25" s="15"/>
      <c r="Q25" s="15"/>
      <c r="R25" s="15"/>
      <c r="S25" s="33"/>
      <c r="W25" s="36" t="s">
        <v>65</v>
      </c>
      <c r="X25" s="46"/>
      <c r="Y25" s="71"/>
      <c r="Z25" s="37"/>
      <c r="AA25" s="45"/>
      <c r="AB25" s="57"/>
      <c r="AC25" s="58"/>
      <c r="AD25" s="41">
        <f>SUM(X25)</f>
        <v>0</v>
      </c>
      <c r="AE25" s="59"/>
      <c r="AF25" s="57"/>
      <c r="AG25" s="58"/>
      <c r="AH25" s="41">
        <f t="shared" si="0"/>
        <v>0</v>
      </c>
      <c r="AI25" s="59"/>
      <c r="AJ25" s="57"/>
      <c r="AK25" s="58"/>
      <c r="AL25" s="46"/>
      <c r="AM25" s="46">
        <f t="shared" si="17"/>
        <v>0</v>
      </c>
      <c r="AN25" s="49"/>
      <c r="AO25" s="44"/>
      <c r="AP25" s="50"/>
      <c r="AQ25" s="51"/>
      <c r="AR25" s="44"/>
      <c r="AS25" s="50"/>
      <c r="AT25" s="51"/>
      <c r="AU25" s="44"/>
    </row>
    <row r="26" spans="1:47" ht="28.5" customHeight="1" x14ac:dyDescent="0.5">
      <c r="A26" s="12">
        <v>15</v>
      </c>
      <c r="B26" s="7" t="s">
        <v>60</v>
      </c>
      <c r="C26" s="20" t="s">
        <v>62</v>
      </c>
      <c r="D26" s="20" t="s">
        <v>66</v>
      </c>
      <c r="E26" s="20" t="s">
        <v>62</v>
      </c>
      <c r="F26" s="14">
        <f>9000*12</f>
        <v>108000</v>
      </c>
      <c r="G26" s="104" t="s">
        <v>37</v>
      </c>
      <c r="H26" s="55">
        <v>1</v>
      </c>
      <c r="I26" s="55">
        <v>1</v>
      </c>
      <c r="J26" s="104" t="s">
        <v>37</v>
      </c>
      <c r="K26" s="104" t="s">
        <v>37</v>
      </c>
      <c r="L26" s="104" t="s">
        <v>37</v>
      </c>
      <c r="M26" s="104" t="s">
        <v>37</v>
      </c>
      <c r="N26" s="104" t="s">
        <v>37</v>
      </c>
      <c r="O26" s="104" t="s">
        <v>37</v>
      </c>
      <c r="P26" s="70">
        <f>SUM(F26)</f>
        <v>108000</v>
      </c>
      <c r="Q26" s="15">
        <f>SUM(F26)</f>
        <v>108000</v>
      </c>
      <c r="R26" s="15">
        <f>SUM(F26)</f>
        <v>108000</v>
      </c>
      <c r="S26" s="176" t="s">
        <v>63</v>
      </c>
      <c r="W26" s="7" t="s">
        <v>64</v>
      </c>
      <c r="X26" s="46"/>
      <c r="Y26" s="71">
        <f t="shared" si="16"/>
        <v>0</v>
      </c>
      <c r="Z26" s="37"/>
      <c r="AA26" s="45"/>
      <c r="AB26" s="57"/>
      <c r="AC26" s="58"/>
      <c r="AD26" s="41">
        <f>SUM(X26)</f>
        <v>0</v>
      </c>
      <c r="AE26" s="59"/>
      <c r="AF26" s="57"/>
      <c r="AG26" s="58"/>
      <c r="AH26" s="59"/>
      <c r="AI26" s="59"/>
      <c r="AJ26" s="57"/>
      <c r="AK26" s="58"/>
      <c r="AL26" s="46"/>
      <c r="AM26" s="46">
        <f t="shared" si="17"/>
        <v>0</v>
      </c>
      <c r="AN26" s="49">
        <v>0</v>
      </c>
      <c r="AO26" s="44">
        <v>0</v>
      </c>
      <c r="AP26" s="50">
        <f>SUM(AM26+AO26)</f>
        <v>0</v>
      </c>
      <c r="AQ26" s="51">
        <v>0</v>
      </c>
      <c r="AR26" s="44">
        <v>0</v>
      </c>
      <c r="AS26" s="50">
        <f>SUM(AP26+AR26)</f>
        <v>0</v>
      </c>
      <c r="AT26" s="51">
        <v>0</v>
      </c>
      <c r="AU26" s="44">
        <v>0</v>
      </c>
    </row>
    <row r="27" spans="1:47" ht="25.5" customHeight="1" x14ac:dyDescent="0.5">
      <c r="A27" s="218" t="s">
        <v>5</v>
      </c>
      <c r="B27" s="221" t="s">
        <v>6</v>
      </c>
      <c r="C27" s="78" t="s">
        <v>7</v>
      </c>
      <c r="D27" s="199" t="s">
        <v>8</v>
      </c>
      <c r="E27" s="224" t="s">
        <v>67</v>
      </c>
      <c r="F27" s="224"/>
      <c r="G27" s="225" t="s">
        <v>68</v>
      </c>
      <c r="H27" s="225"/>
      <c r="I27" s="225"/>
      <c r="J27" s="226" t="s">
        <v>11</v>
      </c>
      <c r="K27" s="225"/>
      <c r="L27" s="225"/>
      <c r="M27" s="226" t="s">
        <v>69</v>
      </c>
      <c r="N27" s="225"/>
      <c r="O27" s="227"/>
      <c r="P27" s="225" t="s">
        <v>13</v>
      </c>
      <c r="Q27" s="225"/>
      <c r="R27" s="227"/>
      <c r="S27" s="79" t="s">
        <v>14</v>
      </c>
      <c r="W27" s="28"/>
      <c r="X27" s="46"/>
      <c r="Y27" s="71"/>
      <c r="Z27" s="37"/>
      <c r="AA27" s="45"/>
      <c r="AB27" s="57"/>
      <c r="AC27" s="58"/>
      <c r="AD27" s="41"/>
      <c r="AE27" s="59"/>
      <c r="AF27" s="57"/>
      <c r="AG27" s="58"/>
      <c r="AH27" s="59"/>
      <c r="AI27" s="59"/>
      <c r="AJ27" s="57"/>
      <c r="AK27" s="58"/>
      <c r="AL27" s="39"/>
      <c r="AM27" s="46"/>
      <c r="AN27" s="49"/>
      <c r="AO27" s="44"/>
      <c r="AP27" s="50"/>
      <c r="AQ27" s="51"/>
      <c r="AR27" s="44"/>
      <c r="AS27" s="50"/>
      <c r="AT27" s="51"/>
      <c r="AU27" s="44"/>
    </row>
    <row r="28" spans="1:47" ht="25.5" customHeight="1" x14ac:dyDescent="0.5">
      <c r="A28" s="219"/>
      <c r="B28" s="222"/>
      <c r="C28" s="83" t="s">
        <v>15</v>
      </c>
      <c r="D28" s="84" t="s">
        <v>20</v>
      </c>
      <c r="E28" s="198" t="s">
        <v>8</v>
      </c>
      <c r="F28" s="200" t="s">
        <v>16</v>
      </c>
      <c r="G28" s="228" t="s">
        <v>70</v>
      </c>
      <c r="H28" s="228"/>
      <c r="I28" s="228"/>
      <c r="J28" s="229" t="s">
        <v>22</v>
      </c>
      <c r="K28" s="228"/>
      <c r="L28" s="228"/>
      <c r="M28" s="202"/>
      <c r="N28" s="201"/>
      <c r="O28" s="85"/>
      <c r="P28" s="201"/>
      <c r="Q28" s="201"/>
      <c r="R28" s="85"/>
      <c r="S28" s="86"/>
      <c r="W28" s="110"/>
      <c r="X28" s="46"/>
      <c r="Y28" s="71"/>
      <c r="Z28" s="37"/>
      <c r="AA28" s="45"/>
      <c r="AB28" s="57"/>
      <c r="AC28" s="58"/>
      <c r="AD28" s="41"/>
      <c r="AE28" s="59"/>
      <c r="AF28" s="57"/>
      <c r="AG28" s="58"/>
      <c r="AH28" s="59"/>
      <c r="AI28" s="59"/>
      <c r="AJ28" s="57"/>
      <c r="AK28" s="58"/>
      <c r="AL28" s="39"/>
      <c r="AM28" s="46"/>
      <c r="AN28" s="49"/>
      <c r="AO28" s="44"/>
      <c r="AP28" s="50"/>
      <c r="AQ28" s="51"/>
      <c r="AR28" s="44"/>
      <c r="AS28" s="50"/>
      <c r="AT28" s="51"/>
      <c r="AU28" s="44"/>
    </row>
    <row r="29" spans="1:47" ht="25.5" customHeight="1" x14ac:dyDescent="0.5">
      <c r="A29" s="219"/>
      <c r="B29" s="222"/>
      <c r="C29" s="83"/>
      <c r="D29" s="84"/>
      <c r="E29" s="88" t="s">
        <v>24</v>
      </c>
      <c r="F29" s="89" t="s">
        <v>25</v>
      </c>
      <c r="G29" s="90">
        <v>2561</v>
      </c>
      <c r="H29" s="91">
        <v>2562</v>
      </c>
      <c r="I29" s="91">
        <v>2563</v>
      </c>
      <c r="J29" s="90">
        <v>2561</v>
      </c>
      <c r="K29" s="91">
        <v>2562</v>
      </c>
      <c r="L29" s="91">
        <v>2563</v>
      </c>
      <c r="M29" s="90">
        <v>2561</v>
      </c>
      <c r="N29" s="91">
        <v>2562</v>
      </c>
      <c r="O29" s="91">
        <v>2563</v>
      </c>
      <c r="P29" s="90">
        <v>2561</v>
      </c>
      <c r="Q29" s="91">
        <v>2562</v>
      </c>
      <c r="R29" s="91">
        <v>2563</v>
      </c>
      <c r="S29" s="92"/>
      <c r="W29" s="110"/>
      <c r="X29" s="46"/>
      <c r="Y29" s="71"/>
      <c r="Z29" s="37"/>
      <c r="AA29" s="45"/>
      <c r="AB29" s="57"/>
      <c r="AC29" s="58"/>
      <c r="AD29" s="41"/>
      <c r="AE29" s="59"/>
      <c r="AF29" s="57"/>
      <c r="AG29" s="58"/>
      <c r="AH29" s="59"/>
      <c r="AI29" s="59"/>
      <c r="AJ29" s="57"/>
      <c r="AK29" s="58"/>
      <c r="AL29" s="39"/>
      <c r="AM29" s="46"/>
      <c r="AN29" s="49"/>
      <c r="AO29" s="44"/>
      <c r="AP29" s="50"/>
      <c r="AQ29" s="51"/>
      <c r="AR29" s="44"/>
      <c r="AS29" s="50"/>
      <c r="AT29" s="51"/>
      <c r="AU29" s="44"/>
    </row>
    <row r="30" spans="1:47" ht="27" customHeight="1" x14ac:dyDescent="0.5">
      <c r="A30" s="12"/>
      <c r="B30" s="56" t="s">
        <v>71</v>
      </c>
      <c r="C30" s="20"/>
      <c r="D30" s="12"/>
      <c r="E30" s="12"/>
      <c r="F30" s="16"/>
      <c r="G30" s="20"/>
      <c r="H30" s="20"/>
      <c r="I30" s="12"/>
      <c r="J30" s="70"/>
      <c r="K30" s="70"/>
      <c r="L30" s="70"/>
      <c r="M30" s="69"/>
      <c r="N30" s="69"/>
      <c r="O30" s="69"/>
      <c r="P30" s="15"/>
      <c r="Q30" s="15"/>
      <c r="R30" s="15"/>
      <c r="S30" s="33"/>
      <c r="W30" s="174" t="s">
        <v>71</v>
      </c>
      <c r="X30" s="37"/>
      <c r="Y30" s="37"/>
      <c r="Z30" s="37"/>
      <c r="AA30" s="37"/>
      <c r="AB30" s="37"/>
      <c r="AC30" s="37"/>
      <c r="AD30" s="41"/>
      <c r="AE30" s="37"/>
      <c r="AF30" s="37"/>
      <c r="AG30" s="37"/>
      <c r="AH30" s="37"/>
      <c r="AI30" s="37"/>
      <c r="AJ30" s="37"/>
      <c r="AK30" s="37"/>
      <c r="AL30" s="39"/>
      <c r="AM30" s="44"/>
      <c r="AN30" s="44"/>
      <c r="AO30" s="44"/>
      <c r="AP30" s="44"/>
      <c r="AQ30" s="44"/>
      <c r="AR30" s="44"/>
      <c r="AS30" s="44"/>
      <c r="AT30" s="44"/>
      <c r="AU30" s="44"/>
    </row>
    <row r="31" spans="1:47" ht="25.5" customHeight="1" x14ac:dyDescent="0.5">
      <c r="A31" s="12">
        <v>16</v>
      </c>
      <c r="B31" s="114" t="s">
        <v>72</v>
      </c>
      <c r="C31" s="20" t="s">
        <v>40</v>
      </c>
      <c r="D31" s="12">
        <v>1</v>
      </c>
      <c r="E31" s="12">
        <v>1</v>
      </c>
      <c r="F31" s="151">
        <f>SUM(33560*12)+3500*12</f>
        <v>444720</v>
      </c>
      <c r="G31" s="70" t="s">
        <v>37</v>
      </c>
      <c r="H31" s="55">
        <v>1</v>
      </c>
      <c r="I31" s="55">
        <v>1</v>
      </c>
      <c r="J31" s="70" t="s">
        <v>37</v>
      </c>
      <c r="K31" s="70" t="s">
        <v>37</v>
      </c>
      <c r="L31" s="70" t="s">
        <v>37</v>
      </c>
      <c r="M31" s="70">
        <f>1120*12</f>
        <v>13440</v>
      </c>
      <c r="N31" s="69">
        <f>940*12</f>
        <v>11280</v>
      </c>
      <c r="O31" s="69">
        <f>910*12</f>
        <v>10920</v>
      </c>
      <c r="P31" s="70">
        <f>SUM(F31+M31)</f>
        <v>458160</v>
      </c>
      <c r="Q31" s="15">
        <f>SUM(F31+N31)</f>
        <v>456000</v>
      </c>
      <c r="R31" s="15">
        <f>SUM(F31+7)</f>
        <v>444727</v>
      </c>
      <c r="S31" s="33"/>
      <c r="W31" s="172" t="s">
        <v>72</v>
      </c>
      <c r="X31" s="37">
        <v>33560</v>
      </c>
      <c r="Y31" s="46">
        <f>SUM(X31*12)</f>
        <v>402720</v>
      </c>
      <c r="Z31" s="41">
        <f t="shared" ref="Z31:Z46" si="18">SUM(X31)</f>
        <v>33560</v>
      </c>
      <c r="AA31" s="45">
        <v>34680</v>
      </c>
      <c r="AB31" s="43">
        <f>SUM(AA31-Z31)</f>
        <v>1120</v>
      </c>
      <c r="AC31" s="42">
        <f t="shared" ref="AC31:AC45" si="19">SUM(AB31*12)</f>
        <v>13440</v>
      </c>
      <c r="AD31" s="41">
        <f>SUM(AA31)</f>
        <v>34680</v>
      </c>
      <c r="AE31" s="45">
        <v>35770</v>
      </c>
      <c r="AF31" s="47">
        <f>SUM(AE31-AD31)</f>
        <v>1090</v>
      </c>
      <c r="AG31" s="46">
        <f>SUM(AF31*12)</f>
        <v>13080</v>
      </c>
      <c r="AH31" s="41">
        <f>SUM(AE31)</f>
        <v>35770</v>
      </c>
      <c r="AI31" s="45">
        <v>36860</v>
      </c>
      <c r="AJ31" s="47">
        <f>SUM(AI31-AH31)</f>
        <v>1090</v>
      </c>
      <c r="AK31" s="46">
        <f>SUM(AJ31*12)</f>
        <v>13080</v>
      </c>
      <c r="AL31" s="39"/>
      <c r="AM31" s="44"/>
      <c r="AN31" s="44"/>
      <c r="AO31" s="44"/>
      <c r="AP31" s="44"/>
      <c r="AQ31" s="44"/>
      <c r="AR31" s="44"/>
      <c r="AS31" s="44"/>
      <c r="AT31" s="44"/>
      <c r="AU31" s="44"/>
    </row>
    <row r="32" spans="1:47" ht="25.5" customHeight="1" x14ac:dyDescent="0.5">
      <c r="A32" s="12">
        <v>17</v>
      </c>
      <c r="B32" s="7" t="s">
        <v>73</v>
      </c>
      <c r="C32" s="20" t="s">
        <v>52</v>
      </c>
      <c r="D32" s="12">
        <v>1</v>
      </c>
      <c r="E32" s="12">
        <v>1</v>
      </c>
      <c r="F32" s="15">
        <f>SUM(19200*12)</f>
        <v>230400</v>
      </c>
      <c r="G32" s="70" t="s">
        <v>37</v>
      </c>
      <c r="H32" s="55">
        <v>1</v>
      </c>
      <c r="I32" s="55">
        <v>1</v>
      </c>
      <c r="J32" s="70" t="s">
        <v>37</v>
      </c>
      <c r="K32" s="70" t="s">
        <v>37</v>
      </c>
      <c r="L32" s="70" t="s">
        <v>37</v>
      </c>
      <c r="M32" s="70">
        <f>770*12</f>
        <v>9240</v>
      </c>
      <c r="N32" s="69">
        <f>810*12</f>
        <v>9720</v>
      </c>
      <c r="O32" s="69">
        <f>840*12</f>
        <v>10080</v>
      </c>
      <c r="P32" s="70">
        <f>SUM(F32+M32)</f>
        <v>239640</v>
      </c>
      <c r="Q32" s="15">
        <f>SUM(F32+N32)</f>
        <v>240120</v>
      </c>
      <c r="R32" s="15">
        <f>SUM(F32+7)</f>
        <v>230407</v>
      </c>
      <c r="S32" s="33"/>
      <c r="W32" s="29" t="s">
        <v>73</v>
      </c>
      <c r="X32" s="45">
        <v>19200</v>
      </c>
      <c r="Y32" s="46">
        <f>SUM(X32*12)</f>
        <v>230400</v>
      </c>
      <c r="Z32" s="41">
        <f t="shared" si="18"/>
        <v>19200</v>
      </c>
      <c r="AA32" s="45">
        <v>19970</v>
      </c>
      <c r="AB32" s="43">
        <f>SUM(AA32-Z32)</f>
        <v>770</v>
      </c>
      <c r="AC32" s="42">
        <f t="shared" si="19"/>
        <v>9240</v>
      </c>
      <c r="AD32" s="41">
        <f>SUM(AA32)</f>
        <v>19970</v>
      </c>
      <c r="AE32" s="45">
        <v>20780</v>
      </c>
      <c r="AF32" s="47">
        <f>SUM(AE32-AD32)</f>
        <v>810</v>
      </c>
      <c r="AG32" s="46">
        <f>SUM(AF32*12)</f>
        <v>9720</v>
      </c>
      <c r="AH32" s="41">
        <f>SUM(AE32)</f>
        <v>20780</v>
      </c>
      <c r="AI32" s="45">
        <v>21620</v>
      </c>
      <c r="AJ32" s="47">
        <f>SUM(AI32-AH32)</f>
        <v>840</v>
      </c>
      <c r="AK32" s="46">
        <f>SUM(AJ32*12)</f>
        <v>10080</v>
      </c>
      <c r="AL32" s="39"/>
      <c r="AM32" s="44"/>
      <c r="AN32" s="44"/>
      <c r="AO32" s="44"/>
      <c r="AP32" s="44"/>
      <c r="AQ32" s="44"/>
      <c r="AR32" s="44"/>
      <c r="AS32" s="44"/>
      <c r="AT32" s="44"/>
      <c r="AU32" s="44"/>
    </row>
    <row r="33" spans="1:47" ht="25.5" customHeight="1" x14ac:dyDescent="0.5">
      <c r="A33" s="12">
        <v>18</v>
      </c>
      <c r="B33" s="7" t="s">
        <v>74</v>
      </c>
      <c r="C33" s="20" t="s">
        <v>52</v>
      </c>
      <c r="D33" s="12">
        <v>1</v>
      </c>
      <c r="E33" s="12">
        <v>1</v>
      </c>
      <c r="F33" s="15">
        <f>SUM(18440*12)</f>
        <v>221280</v>
      </c>
      <c r="G33" s="70" t="s">
        <v>37</v>
      </c>
      <c r="H33" s="55">
        <v>1</v>
      </c>
      <c r="I33" s="55">
        <v>1</v>
      </c>
      <c r="J33" s="70" t="s">
        <v>37</v>
      </c>
      <c r="K33" s="70" t="s">
        <v>37</v>
      </c>
      <c r="L33" s="70" t="s">
        <v>37</v>
      </c>
      <c r="M33" s="70">
        <f>760*12</f>
        <v>9120</v>
      </c>
      <c r="N33" s="69">
        <f>770*12</f>
        <v>9240</v>
      </c>
      <c r="O33" s="69">
        <f>810*12</f>
        <v>9720</v>
      </c>
      <c r="P33" s="70">
        <f>SUM(F33+M33)</f>
        <v>230400</v>
      </c>
      <c r="Q33" s="15">
        <f>SUM(F33+N33)</f>
        <v>230520</v>
      </c>
      <c r="R33" s="15">
        <f>SUM(F33+7)</f>
        <v>221287</v>
      </c>
      <c r="S33" s="33"/>
      <c r="W33" s="7" t="s">
        <v>74</v>
      </c>
      <c r="X33" s="45">
        <v>18440</v>
      </c>
      <c r="Y33" s="46">
        <f>SUM(X33*12)</f>
        <v>221280</v>
      </c>
      <c r="Z33" s="41">
        <f t="shared" si="18"/>
        <v>18440</v>
      </c>
      <c r="AA33" s="45">
        <v>19200</v>
      </c>
      <c r="AB33" s="43">
        <f>SUM(AA33-Z33)</f>
        <v>760</v>
      </c>
      <c r="AC33" s="42">
        <f t="shared" si="19"/>
        <v>9120</v>
      </c>
      <c r="AD33" s="41">
        <f>SUM(AA33)</f>
        <v>19200</v>
      </c>
      <c r="AE33" s="45">
        <v>19970</v>
      </c>
      <c r="AF33" s="47">
        <f>SUM(AE33-AD33)</f>
        <v>770</v>
      </c>
      <c r="AG33" s="46">
        <f>SUM(AF33*12)</f>
        <v>9240</v>
      </c>
      <c r="AH33" s="41">
        <f>SUM(AE33)</f>
        <v>19970</v>
      </c>
      <c r="AI33" s="45">
        <v>20780</v>
      </c>
      <c r="AJ33" s="47">
        <f>SUM(AI33-AH33)</f>
        <v>810</v>
      </c>
      <c r="AK33" s="46">
        <f>SUM(AJ33*12)</f>
        <v>9720</v>
      </c>
      <c r="AL33" s="39"/>
      <c r="AM33" s="44"/>
      <c r="AN33" s="44"/>
      <c r="AO33" s="44"/>
      <c r="AP33" s="44"/>
      <c r="AQ33" s="44"/>
      <c r="AR33" s="44"/>
      <c r="AS33" s="44"/>
      <c r="AT33" s="44"/>
      <c r="AU33" s="44"/>
    </row>
    <row r="34" spans="1:47" ht="25.5" customHeight="1" x14ac:dyDescent="0.5">
      <c r="A34" s="12">
        <v>19</v>
      </c>
      <c r="B34" s="7" t="s">
        <v>75</v>
      </c>
      <c r="C34" s="20" t="s">
        <v>76</v>
      </c>
      <c r="D34" s="12">
        <v>1</v>
      </c>
      <c r="E34" s="12">
        <v>1</v>
      </c>
      <c r="F34" s="15">
        <f>SUM(22170*12)</f>
        <v>266040</v>
      </c>
      <c r="G34" s="70" t="s">
        <v>37</v>
      </c>
      <c r="H34" s="55">
        <v>1</v>
      </c>
      <c r="I34" s="55">
        <v>1</v>
      </c>
      <c r="J34" s="70" t="s">
        <v>37</v>
      </c>
      <c r="K34" s="70" t="s">
        <v>37</v>
      </c>
      <c r="L34" s="70" t="s">
        <v>37</v>
      </c>
      <c r="M34" s="70">
        <f>910*12</f>
        <v>10920</v>
      </c>
      <c r="N34" s="69">
        <f>930*12</f>
        <v>11160</v>
      </c>
      <c r="O34" s="69">
        <f>960*12</f>
        <v>11520</v>
      </c>
      <c r="P34" s="70">
        <f>SUM(F34+M34)</f>
        <v>276960</v>
      </c>
      <c r="Q34" s="15">
        <f>SUM(F34+N34)</f>
        <v>277200</v>
      </c>
      <c r="R34" s="15">
        <f>SUM(F34+7)</f>
        <v>266047</v>
      </c>
      <c r="S34" s="33"/>
      <c r="W34" s="7" t="s">
        <v>75</v>
      </c>
      <c r="X34" s="45">
        <v>22170</v>
      </c>
      <c r="Y34" s="46">
        <f>SUM(X34*12)</f>
        <v>266040</v>
      </c>
      <c r="Z34" s="41">
        <f t="shared" si="18"/>
        <v>22170</v>
      </c>
      <c r="AA34" s="45">
        <v>23080</v>
      </c>
      <c r="AB34" s="43">
        <f>SUM(AA34-Z34)</f>
        <v>910</v>
      </c>
      <c r="AC34" s="42">
        <f t="shared" si="19"/>
        <v>10920</v>
      </c>
      <c r="AD34" s="41">
        <f>SUM(AA34)</f>
        <v>23080</v>
      </c>
      <c r="AE34" s="45">
        <v>24010</v>
      </c>
      <c r="AF34" s="47">
        <f>SUM(AE34-AD34)</f>
        <v>930</v>
      </c>
      <c r="AG34" s="46">
        <f>SUM(AF34*12)</f>
        <v>11160</v>
      </c>
      <c r="AH34" s="41">
        <f>SUM(AE34)</f>
        <v>24010</v>
      </c>
      <c r="AI34" s="45">
        <v>24970</v>
      </c>
      <c r="AJ34" s="47">
        <f>SUM(AI34-AH34)</f>
        <v>960</v>
      </c>
      <c r="AK34" s="46">
        <f>SUM(AJ34*12)</f>
        <v>11520</v>
      </c>
      <c r="AL34" s="39"/>
      <c r="AM34" s="44"/>
      <c r="AN34" s="44"/>
      <c r="AO34" s="44"/>
      <c r="AP34" s="44"/>
      <c r="AQ34" s="44"/>
      <c r="AR34" s="44"/>
      <c r="AS34" s="44"/>
      <c r="AT34" s="44"/>
      <c r="AU34" s="44"/>
    </row>
    <row r="35" spans="1:47" ht="25.5" customHeight="1" x14ac:dyDescent="0.5">
      <c r="A35" s="12">
        <v>20</v>
      </c>
      <c r="B35" s="7" t="s">
        <v>77</v>
      </c>
      <c r="C35" s="20" t="s">
        <v>52</v>
      </c>
      <c r="D35" s="12">
        <v>1</v>
      </c>
      <c r="E35" s="12">
        <v>1</v>
      </c>
      <c r="F35" s="15">
        <f>SUM(19200*12)</f>
        <v>230400</v>
      </c>
      <c r="G35" s="70" t="s">
        <v>37</v>
      </c>
      <c r="H35" s="55">
        <v>1</v>
      </c>
      <c r="I35" s="55">
        <v>1</v>
      </c>
      <c r="J35" s="70" t="s">
        <v>37</v>
      </c>
      <c r="K35" s="70" t="s">
        <v>37</v>
      </c>
      <c r="L35" s="70" t="s">
        <v>37</v>
      </c>
      <c r="M35" s="70">
        <f>770*12</f>
        <v>9240</v>
      </c>
      <c r="N35" s="69">
        <f>810*12</f>
        <v>9720</v>
      </c>
      <c r="O35" s="69">
        <f>840*12</f>
        <v>10080</v>
      </c>
      <c r="P35" s="70">
        <f>SUM(F35+M35)</f>
        <v>239640</v>
      </c>
      <c r="Q35" s="15">
        <f>SUM(F35+N35)</f>
        <v>240120</v>
      </c>
      <c r="R35" s="15">
        <f>SUM(F35+7)</f>
        <v>230407</v>
      </c>
      <c r="S35" s="33"/>
      <c r="W35" s="7" t="s">
        <v>77</v>
      </c>
      <c r="X35" s="45">
        <v>19200</v>
      </c>
      <c r="Y35" s="46">
        <f>SUM(X35*12)</f>
        <v>230400</v>
      </c>
      <c r="Z35" s="41">
        <f t="shared" si="18"/>
        <v>19200</v>
      </c>
      <c r="AA35" s="45">
        <v>19970</v>
      </c>
      <c r="AB35" s="43">
        <f>SUM(AA35-Z35)</f>
        <v>770</v>
      </c>
      <c r="AC35" s="42">
        <f t="shared" si="19"/>
        <v>9240</v>
      </c>
      <c r="AD35" s="41">
        <f>SUM(AA35)</f>
        <v>19970</v>
      </c>
      <c r="AE35" s="45">
        <v>20780</v>
      </c>
      <c r="AF35" s="47">
        <f>SUM(AE35-AD35)</f>
        <v>810</v>
      </c>
      <c r="AG35" s="46">
        <f>SUM(AF35*12)</f>
        <v>9720</v>
      </c>
      <c r="AH35" s="41">
        <f>SUM(AE35)</f>
        <v>20780</v>
      </c>
      <c r="AI35" s="45">
        <v>21620</v>
      </c>
      <c r="AJ35" s="47">
        <f>SUM(AI35-AH35)</f>
        <v>840</v>
      </c>
      <c r="AK35" s="46">
        <f>SUM(AJ35*12)</f>
        <v>10080</v>
      </c>
      <c r="AL35" s="39"/>
      <c r="AM35" s="44"/>
      <c r="AN35" s="44"/>
      <c r="AO35" s="44"/>
      <c r="AP35" s="44"/>
      <c r="AQ35" s="44"/>
      <c r="AR35" s="44"/>
      <c r="AS35" s="44"/>
      <c r="AT35" s="44"/>
      <c r="AU35" s="44"/>
    </row>
    <row r="36" spans="1:47" ht="33" customHeight="1" x14ac:dyDescent="0.5">
      <c r="A36" s="12"/>
      <c r="B36" s="36" t="s">
        <v>56</v>
      </c>
      <c r="C36" s="20"/>
      <c r="D36" s="12"/>
      <c r="E36" s="12"/>
      <c r="F36" s="15"/>
      <c r="G36" s="70"/>
      <c r="H36" s="20"/>
      <c r="I36" s="12"/>
      <c r="J36" s="70"/>
      <c r="K36" s="70"/>
      <c r="L36" s="70"/>
      <c r="M36" s="70"/>
      <c r="N36" s="69"/>
      <c r="O36" s="69"/>
      <c r="P36" s="15"/>
      <c r="Q36" s="15"/>
      <c r="R36" s="15"/>
      <c r="S36" s="33"/>
      <c r="W36" s="36" t="s">
        <v>56</v>
      </c>
      <c r="X36" s="38"/>
      <c r="Y36" s="38"/>
      <c r="Z36" s="41">
        <f t="shared" si="18"/>
        <v>0</v>
      </c>
      <c r="AA36" s="38"/>
      <c r="AB36" s="38"/>
      <c r="AC36" s="38"/>
      <c r="AD36" s="41">
        <f>SUM(X36)</f>
        <v>0</v>
      </c>
      <c r="AE36" s="38"/>
      <c r="AF36" s="38"/>
      <c r="AG36" s="38"/>
      <c r="AH36" s="38"/>
      <c r="AI36" s="38"/>
      <c r="AJ36" s="38"/>
      <c r="AK36" s="38"/>
      <c r="AL36" s="39"/>
      <c r="AM36" s="44"/>
      <c r="AN36" s="44"/>
      <c r="AO36" s="44"/>
      <c r="AP36" s="44"/>
      <c r="AQ36" s="44"/>
      <c r="AR36" s="44"/>
      <c r="AS36" s="44"/>
      <c r="AT36" s="44"/>
      <c r="AU36" s="44"/>
    </row>
    <row r="37" spans="1:47" ht="25.5" customHeight="1" x14ac:dyDescent="0.5">
      <c r="A37" s="12">
        <v>21</v>
      </c>
      <c r="B37" s="7" t="s">
        <v>78</v>
      </c>
      <c r="C37" s="20" t="s">
        <v>37</v>
      </c>
      <c r="D37" s="12">
        <v>1</v>
      </c>
      <c r="E37" s="12">
        <v>1</v>
      </c>
      <c r="F37" s="15">
        <f>SUM(13285*12)</f>
        <v>159420</v>
      </c>
      <c r="G37" s="70" t="s">
        <v>37</v>
      </c>
      <c r="H37" s="55">
        <v>1</v>
      </c>
      <c r="I37" s="55">
        <v>1</v>
      </c>
      <c r="J37" s="70" t="s">
        <v>37</v>
      </c>
      <c r="K37" s="70" t="s">
        <v>37</v>
      </c>
      <c r="L37" s="70" t="s">
        <v>37</v>
      </c>
      <c r="M37" s="70">
        <v>5520</v>
      </c>
      <c r="N37" s="69">
        <f>480*12</f>
        <v>5760</v>
      </c>
      <c r="O37" s="69">
        <f>500*12</f>
        <v>6000</v>
      </c>
      <c r="P37" s="70">
        <f>SUM(F37+M37)</f>
        <v>164940</v>
      </c>
      <c r="Q37" s="15">
        <f>SUM(F37+N37)</f>
        <v>165180</v>
      </c>
      <c r="R37" s="15">
        <f>SUM(F37+7)</f>
        <v>159427</v>
      </c>
      <c r="S37" s="33"/>
      <c r="W37" s="7" t="s">
        <v>79</v>
      </c>
      <c r="X37" s="45">
        <v>11500</v>
      </c>
      <c r="Y37" s="46">
        <f>SUM(X37*12)</f>
        <v>138000</v>
      </c>
      <c r="Z37" s="41">
        <f t="shared" si="18"/>
        <v>11500</v>
      </c>
      <c r="AA37" s="45"/>
      <c r="AB37" s="43">
        <f t="shared" ref="AB37:AB45" si="20">SUM(AA37-Z37)</f>
        <v>-11500</v>
      </c>
      <c r="AC37" s="42">
        <f t="shared" si="19"/>
        <v>-138000</v>
      </c>
      <c r="AD37" s="41">
        <f t="shared" ref="AD37:AD44" si="21">SUM(AA37)</f>
        <v>0</v>
      </c>
      <c r="AE37" s="45"/>
      <c r="AF37" s="47"/>
      <c r="AG37" s="46"/>
      <c r="AH37" s="41">
        <f t="shared" ref="AH37:AH44" si="22">SUM(AE37)</f>
        <v>0</v>
      </c>
      <c r="AI37" s="45"/>
      <c r="AJ37" s="47"/>
      <c r="AK37" s="46"/>
      <c r="AL37" s="39"/>
      <c r="AM37" s="46">
        <f>SUM(X37)</f>
        <v>11500</v>
      </c>
      <c r="AN37" s="49">
        <f>SUM(AM37*4/100)</f>
        <v>460</v>
      </c>
      <c r="AO37" s="44">
        <v>410</v>
      </c>
      <c r="AP37" s="50">
        <f>SUM(AM37+AO37)</f>
        <v>11910</v>
      </c>
      <c r="AQ37" s="51">
        <f>SUM(AP37*4/100)</f>
        <v>476.4</v>
      </c>
      <c r="AR37" s="44">
        <v>430</v>
      </c>
      <c r="AS37" s="50">
        <f>SUM(AP37+AR37)</f>
        <v>12340</v>
      </c>
      <c r="AT37" s="51">
        <f>SUM(AS37*4/100)</f>
        <v>493.6</v>
      </c>
      <c r="AU37" s="44">
        <v>450</v>
      </c>
    </row>
    <row r="38" spans="1:47" ht="22.5" customHeight="1" x14ac:dyDescent="0.5">
      <c r="A38" s="12"/>
      <c r="B38" s="56" t="s">
        <v>80</v>
      </c>
      <c r="C38" s="20"/>
      <c r="D38" s="12"/>
      <c r="E38" s="12"/>
      <c r="F38" s="16"/>
      <c r="G38" s="70"/>
      <c r="H38" s="20"/>
      <c r="I38" s="12"/>
      <c r="J38" s="70"/>
      <c r="K38" s="70"/>
      <c r="L38" s="70"/>
      <c r="M38" s="69"/>
      <c r="N38" s="69"/>
      <c r="O38" s="69"/>
      <c r="P38" s="15"/>
      <c r="Q38" s="15"/>
      <c r="R38" s="15"/>
      <c r="S38" s="33"/>
      <c r="W38" s="56" t="s">
        <v>80</v>
      </c>
      <c r="X38" s="45"/>
      <c r="Y38" s="46"/>
      <c r="Z38" s="41">
        <f t="shared" si="18"/>
        <v>0</v>
      </c>
      <c r="AA38" s="45"/>
      <c r="AB38" s="43">
        <f t="shared" si="20"/>
        <v>0</v>
      </c>
      <c r="AC38" s="42">
        <f t="shared" si="19"/>
        <v>0</v>
      </c>
      <c r="AD38" s="41">
        <f t="shared" si="21"/>
        <v>0</v>
      </c>
      <c r="AE38" s="45"/>
      <c r="AF38" s="47"/>
      <c r="AG38" s="46"/>
      <c r="AH38" s="41">
        <f t="shared" si="22"/>
        <v>0</v>
      </c>
      <c r="AI38" s="45"/>
      <c r="AJ38" s="47"/>
      <c r="AK38" s="46"/>
      <c r="AL38" s="39"/>
      <c r="AM38" s="46"/>
      <c r="AN38" s="49"/>
      <c r="AO38" s="44"/>
      <c r="AP38" s="50"/>
      <c r="AQ38" s="51"/>
      <c r="AR38" s="44"/>
      <c r="AS38" s="50"/>
      <c r="AT38" s="51"/>
      <c r="AU38" s="44"/>
    </row>
    <row r="39" spans="1:47" ht="25.5" customHeight="1" x14ac:dyDescent="0.5">
      <c r="A39" s="12">
        <v>22</v>
      </c>
      <c r="B39" s="114" t="s">
        <v>81</v>
      </c>
      <c r="C39" s="20" t="s">
        <v>40</v>
      </c>
      <c r="D39" s="12">
        <v>1</v>
      </c>
      <c r="E39" s="12">
        <v>1</v>
      </c>
      <c r="F39" s="15">
        <f>SUM(30220*12)+3500*12</f>
        <v>404640</v>
      </c>
      <c r="G39" s="70" t="s">
        <v>37</v>
      </c>
      <c r="H39" s="55">
        <v>1</v>
      </c>
      <c r="I39" s="55">
        <v>1</v>
      </c>
      <c r="J39" s="70" t="s">
        <v>37</v>
      </c>
      <c r="K39" s="70" t="s">
        <v>37</v>
      </c>
      <c r="L39" s="70" t="s">
        <v>37</v>
      </c>
      <c r="M39" s="70">
        <f>1120*12</f>
        <v>13440</v>
      </c>
      <c r="N39" s="69">
        <f>1110*12</f>
        <v>13320</v>
      </c>
      <c r="O39" s="69">
        <f>1110*12</f>
        <v>13320</v>
      </c>
      <c r="P39" s="70">
        <f>SUM(F39+M39)</f>
        <v>418080</v>
      </c>
      <c r="Q39" s="15">
        <f>SUM(F39+N39)</f>
        <v>417960</v>
      </c>
      <c r="R39" s="15">
        <f>SUM(F39+7)</f>
        <v>404647</v>
      </c>
      <c r="S39" s="33"/>
      <c r="W39" s="7" t="s">
        <v>82</v>
      </c>
      <c r="X39" s="45">
        <v>30220</v>
      </c>
      <c r="Y39" s="46">
        <f>SUM(X39*12)</f>
        <v>362640</v>
      </c>
      <c r="Z39" s="41">
        <f t="shared" si="18"/>
        <v>30220</v>
      </c>
      <c r="AA39" s="45"/>
      <c r="AB39" s="43">
        <f t="shared" si="20"/>
        <v>-30220</v>
      </c>
      <c r="AC39" s="42">
        <f t="shared" si="19"/>
        <v>-362640</v>
      </c>
      <c r="AD39" s="41">
        <f t="shared" si="21"/>
        <v>0</v>
      </c>
      <c r="AE39" s="45">
        <v>32450</v>
      </c>
      <c r="AF39" s="47">
        <f>SUM(AE39-AD39)</f>
        <v>32450</v>
      </c>
      <c r="AG39" s="46">
        <f>SUM(AF39*12)</f>
        <v>389400</v>
      </c>
      <c r="AH39" s="41">
        <f t="shared" si="22"/>
        <v>32450</v>
      </c>
      <c r="AI39" s="45">
        <v>33560</v>
      </c>
      <c r="AJ39" s="47">
        <f>SUM(AI39-AH39)</f>
        <v>1110</v>
      </c>
      <c r="AK39" s="46">
        <f>SUM(AJ39*12)</f>
        <v>13320</v>
      </c>
      <c r="AL39" s="39"/>
      <c r="AM39" s="44"/>
      <c r="AN39" s="44"/>
      <c r="AO39" s="44"/>
      <c r="AP39" s="44"/>
      <c r="AQ39" s="44"/>
      <c r="AR39" s="44"/>
      <c r="AS39" s="44"/>
      <c r="AT39" s="44"/>
      <c r="AU39" s="44"/>
    </row>
    <row r="40" spans="1:47" ht="25.5" customHeight="1" x14ac:dyDescent="0.5">
      <c r="A40" s="12">
        <v>23</v>
      </c>
      <c r="B40" s="7" t="s">
        <v>83</v>
      </c>
      <c r="C40" s="20" t="s">
        <v>52</v>
      </c>
      <c r="D40" s="12">
        <v>1</v>
      </c>
      <c r="E40" s="12">
        <v>1</v>
      </c>
      <c r="F40" s="15">
        <f>SUM(22040*12)</f>
        <v>264480</v>
      </c>
      <c r="G40" s="70" t="s">
        <v>37</v>
      </c>
      <c r="H40" s="55">
        <v>1</v>
      </c>
      <c r="I40" s="55">
        <v>1</v>
      </c>
      <c r="J40" s="70" t="s">
        <v>37</v>
      </c>
      <c r="K40" s="70" t="s">
        <v>37</v>
      </c>
      <c r="L40" s="70" t="s">
        <v>37</v>
      </c>
      <c r="M40" s="70">
        <f>850*12</f>
        <v>10200</v>
      </c>
      <c r="N40" s="69">
        <f>880*12</f>
        <v>10560</v>
      </c>
      <c r="O40" s="69">
        <f>900*12</f>
        <v>10800</v>
      </c>
      <c r="P40" s="70">
        <f>SUM(F40+M40)</f>
        <v>274680</v>
      </c>
      <c r="Q40" s="15">
        <f>SUM(F40+N40)</f>
        <v>275040</v>
      </c>
      <c r="R40" s="15">
        <f>SUM(F40+7)</f>
        <v>264487</v>
      </c>
      <c r="S40" s="118"/>
      <c r="W40" s="7" t="s">
        <v>83</v>
      </c>
      <c r="X40" s="45">
        <v>18440</v>
      </c>
      <c r="Y40" s="46">
        <f>SUM(X40*12)</f>
        <v>221280</v>
      </c>
      <c r="Z40" s="41">
        <f t="shared" si="18"/>
        <v>18440</v>
      </c>
      <c r="AA40" s="45"/>
      <c r="AB40" s="43">
        <f t="shared" si="20"/>
        <v>-18440</v>
      </c>
      <c r="AC40" s="42">
        <f t="shared" si="19"/>
        <v>-221280</v>
      </c>
      <c r="AD40" s="41">
        <f t="shared" si="21"/>
        <v>0</v>
      </c>
      <c r="AE40" s="45">
        <v>19200</v>
      </c>
      <c r="AF40" s="47">
        <f>SUM(AE40-AD40)</f>
        <v>19200</v>
      </c>
      <c r="AG40" s="46">
        <f>SUM(AF40*12)</f>
        <v>230400</v>
      </c>
      <c r="AH40" s="41">
        <f t="shared" si="22"/>
        <v>19200</v>
      </c>
      <c r="AI40" s="45">
        <v>19970</v>
      </c>
      <c r="AJ40" s="47">
        <f>SUM(AI40-AH40)</f>
        <v>770</v>
      </c>
      <c r="AK40" s="46">
        <f>SUM(AJ40*12)</f>
        <v>9240</v>
      </c>
      <c r="AL40" s="39"/>
      <c r="AM40" s="44"/>
      <c r="AN40" s="44"/>
      <c r="AO40" s="44"/>
      <c r="AP40" s="44"/>
      <c r="AQ40" s="44"/>
      <c r="AR40" s="44"/>
      <c r="AS40" s="44"/>
      <c r="AT40" s="44"/>
      <c r="AU40" s="44"/>
    </row>
    <row r="41" spans="1:47" ht="25.5" customHeight="1" x14ac:dyDescent="0.5">
      <c r="A41" s="12">
        <v>24</v>
      </c>
      <c r="B41" s="7" t="s">
        <v>83</v>
      </c>
      <c r="C41" s="20" t="s">
        <v>52</v>
      </c>
      <c r="D41" s="12">
        <v>1</v>
      </c>
      <c r="E41" s="12">
        <v>1</v>
      </c>
      <c r="F41" s="15">
        <f>SUM(18810*12)</f>
        <v>225720</v>
      </c>
      <c r="G41" s="70" t="s">
        <v>37</v>
      </c>
      <c r="H41" s="55">
        <v>1</v>
      </c>
      <c r="I41" s="55">
        <v>1</v>
      </c>
      <c r="J41" s="70" t="s">
        <v>37</v>
      </c>
      <c r="K41" s="70" t="s">
        <v>37</v>
      </c>
      <c r="L41" s="70" t="s">
        <v>37</v>
      </c>
      <c r="M41" s="70">
        <f>770*12</f>
        <v>9240</v>
      </c>
      <c r="N41" s="69">
        <f>780*12</f>
        <v>9360</v>
      </c>
      <c r="O41" s="69">
        <f>830*12</f>
        <v>9960</v>
      </c>
      <c r="P41" s="70">
        <f>SUM(F41+M41)</f>
        <v>234960</v>
      </c>
      <c r="Q41" s="15">
        <f>SUM(F41+N41)</f>
        <v>235080</v>
      </c>
      <c r="R41" s="15">
        <f>SUM(F41+7)</f>
        <v>225727</v>
      </c>
      <c r="S41" s="33"/>
      <c r="W41" s="7" t="s">
        <v>83</v>
      </c>
      <c r="X41" s="45">
        <v>20780</v>
      </c>
      <c r="Y41" s="46">
        <f>SUM(X41*12)</f>
        <v>249360</v>
      </c>
      <c r="Z41" s="41">
        <f t="shared" si="18"/>
        <v>20780</v>
      </c>
      <c r="AA41" s="45"/>
      <c r="AB41" s="43">
        <f t="shared" si="20"/>
        <v>-20780</v>
      </c>
      <c r="AC41" s="42">
        <f t="shared" si="19"/>
        <v>-249360</v>
      </c>
      <c r="AD41" s="41">
        <f t="shared" si="21"/>
        <v>0</v>
      </c>
      <c r="AE41" s="45">
        <v>21620</v>
      </c>
      <c r="AF41" s="47">
        <f>SUM(AE41-AD41)</f>
        <v>21620</v>
      </c>
      <c r="AG41" s="46">
        <f>SUM(AF41*12)</f>
        <v>259440</v>
      </c>
      <c r="AH41" s="41">
        <f t="shared" si="22"/>
        <v>21620</v>
      </c>
      <c r="AI41" s="45">
        <v>22490</v>
      </c>
      <c r="AJ41" s="47">
        <f>SUM(AI41-AH41)</f>
        <v>870</v>
      </c>
      <c r="AK41" s="46">
        <f>SUM(AJ41*12)</f>
        <v>10440</v>
      </c>
      <c r="AL41" s="39"/>
      <c r="AM41" s="44"/>
      <c r="AN41" s="44"/>
      <c r="AO41" s="44"/>
      <c r="AP41" s="44"/>
      <c r="AQ41" s="44"/>
      <c r="AR41" s="44"/>
      <c r="AS41" s="44"/>
      <c r="AT41" s="44"/>
      <c r="AU41" s="44"/>
    </row>
    <row r="42" spans="1:47" ht="25.5" customHeight="1" x14ac:dyDescent="0.5">
      <c r="A42" s="12">
        <v>26</v>
      </c>
      <c r="B42" s="7" t="s">
        <v>83</v>
      </c>
      <c r="C42" s="20" t="s">
        <v>52</v>
      </c>
      <c r="D42" s="12">
        <v>1</v>
      </c>
      <c r="E42" s="12">
        <v>1</v>
      </c>
      <c r="F42" s="15">
        <f>SUM(19580*12)</f>
        <v>234960</v>
      </c>
      <c r="G42" s="70" t="s">
        <v>37</v>
      </c>
      <c r="H42" s="55">
        <v>1</v>
      </c>
      <c r="I42" s="55">
        <v>1</v>
      </c>
      <c r="J42" s="70" t="s">
        <v>37</v>
      </c>
      <c r="K42" s="70" t="s">
        <v>37</v>
      </c>
      <c r="L42" s="70" t="s">
        <v>37</v>
      </c>
      <c r="M42" s="70">
        <f>780*12</f>
        <v>9360</v>
      </c>
      <c r="N42" s="69">
        <f>830*12</f>
        <v>9960</v>
      </c>
      <c r="O42" s="69">
        <f>850*12</f>
        <v>10200</v>
      </c>
      <c r="P42" s="70">
        <f>SUM(F42+M42)</f>
        <v>244320</v>
      </c>
      <c r="Q42" s="15">
        <f>SUM(F42+N42)</f>
        <v>244920</v>
      </c>
      <c r="R42" s="15">
        <f>SUM(F42+7)</f>
        <v>234967</v>
      </c>
      <c r="S42" s="35"/>
      <c r="W42" s="7" t="s">
        <v>83</v>
      </c>
      <c r="X42" s="45">
        <v>21225</v>
      </c>
      <c r="Y42" s="46">
        <f>SUM(X42*12)</f>
        <v>254700</v>
      </c>
      <c r="Z42" s="41">
        <f t="shared" si="18"/>
        <v>21225</v>
      </c>
      <c r="AA42" s="45"/>
      <c r="AB42" s="43">
        <f t="shared" si="20"/>
        <v>-21225</v>
      </c>
      <c r="AC42" s="42">
        <f t="shared" si="19"/>
        <v>-254700</v>
      </c>
      <c r="AD42" s="41">
        <f t="shared" si="21"/>
        <v>0</v>
      </c>
      <c r="AE42" s="45">
        <v>19200</v>
      </c>
      <c r="AF42" s="47">
        <f>SUM(AE42-AD42)</f>
        <v>19200</v>
      </c>
      <c r="AG42" s="46">
        <f>SUM(AF42*12)</f>
        <v>230400</v>
      </c>
      <c r="AH42" s="41">
        <f t="shared" si="22"/>
        <v>19200</v>
      </c>
      <c r="AI42" s="45">
        <v>19970</v>
      </c>
      <c r="AJ42" s="47">
        <f>SUM(AI42-AH42)</f>
        <v>770</v>
      </c>
      <c r="AK42" s="46">
        <f>SUM(AJ42*12)</f>
        <v>9240</v>
      </c>
      <c r="AL42" s="39"/>
      <c r="AM42" s="44"/>
      <c r="AN42" s="44"/>
      <c r="AO42" s="44"/>
      <c r="AP42" s="44"/>
      <c r="AQ42" s="44"/>
      <c r="AR42" s="44"/>
      <c r="AS42" s="44"/>
      <c r="AT42" s="44"/>
      <c r="AU42" s="44"/>
    </row>
    <row r="43" spans="1:47" ht="30.75" customHeight="1" x14ac:dyDescent="0.5">
      <c r="A43" s="12"/>
      <c r="B43" s="63" t="s">
        <v>84</v>
      </c>
      <c r="C43" s="63"/>
      <c r="D43" s="12"/>
      <c r="E43" s="12"/>
      <c r="F43" s="16"/>
      <c r="G43" s="70" t="s">
        <v>37</v>
      </c>
      <c r="H43" s="20"/>
      <c r="I43" s="16"/>
      <c r="J43" s="70" t="s">
        <v>37</v>
      </c>
      <c r="K43" s="70" t="s">
        <v>37</v>
      </c>
      <c r="L43" s="70" t="s">
        <v>37</v>
      </c>
      <c r="M43" s="70" t="s">
        <v>37</v>
      </c>
      <c r="N43" s="69"/>
      <c r="O43" s="69"/>
      <c r="P43" s="15"/>
      <c r="Q43" s="15"/>
      <c r="R43" s="15"/>
      <c r="S43" s="33"/>
      <c r="W43" s="21" t="s">
        <v>85</v>
      </c>
      <c r="X43" s="45"/>
      <c r="Y43" s="46"/>
      <c r="Z43" s="41">
        <f t="shared" si="18"/>
        <v>0</v>
      </c>
      <c r="AA43" s="45"/>
      <c r="AB43" s="43">
        <f t="shared" si="20"/>
        <v>0</v>
      </c>
      <c r="AC43" s="42">
        <f t="shared" si="19"/>
        <v>0</v>
      </c>
      <c r="AD43" s="41">
        <f t="shared" si="21"/>
        <v>0</v>
      </c>
      <c r="AE43" s="45"/>
      <c r="AF43" s="47"/>
      <c r="AG43" s="46"/>
      <c r="AH43" s="41">
        <f t="shared" si="22"/>
        <v>0</v>
      </c>
      <c r="AI43" s="39"/>
      <c r="AJ43" s="47"/>
      <c r="AK43" s="46"/>
      <c r="AL43" s="39"/>
      <c r="AM43" s="46"/>
      <c r="AN43" s="49"/>
      <c r="AO43" s="44"/>
      <c r="AP43" s="50"/>
      <c r="AQ43" s="51"/>
      <c r="AR43" s="44"/>
      <c r="AS43" s="50"/>
      <c r="AT43" s="51"/>
      <c r="AU43" s="44"/>
    </row>
    <row r="44" spans="1:47" ht="25.5" customHeight="1" x14ac:dyDescent="0.5">
      <c r="A44" s="12">
        <v>27</v>
      </c>
      <c r="B44" s="7" t="s">
        <v>151</v>
      </c>
      <c r="C44" s="20" t="s">
        <v>40</v>
      </c>
      <c r="D44" s="12">
        <v>1</v>
      </c>
      <c r="E44" s="12">
        <v>1</v>
      </c>
      <c r="F44" s="15">
        <f>SUM(24970*12)+3500*12</f>
        <v>341640</v>
      </c>
      <c r="G44" s="70" t="s">
        <v>37</v>
      </c>
      <c r="H44" s="55">
        <v>1</v>
      </c>
      <c r="I44" s="55">
        <v>1</v>
      </c>
      <c r="J44" s="70" t="s">
        <v>37</v>
      </c>
      <c r="K44" s="70" t="s">
        <v>37</v>
      </c>
      <c r="L44" s="70" t="s">
        <v>37</v>
      </c>
      <c r="M44" s="70">
        <f>1000*12</f>
        <v>12000</v>
      </c>
      <c r="N44" s="69">
        <f>1010*12</f>
        <v>12120</v>
      </c>
      <c r="O44" s="69">
        <f>1050*12</f>
        <v>12600</v>
      </c>
      <c r="P44" s="70">
        <f>SUM(F44+M44)</f>
        <v>353640</v>
      </c>
      <c r="Q44" s="15">
        <f>SUM(F44+N44)</f>
        <v>353760</v>
      </c>
      <c r="R44" s="15">
        <f>SUM(F44+7)</f>
        <v>341647</v>
      </c>
      <c r="S44" s="33"/>
      <c r="W44" s="28" t="s">
        <v>87</v>
      </c>
      <c r="X44" s="45">
        <v>24490</v>
      </c>
      <c r="Y44" s="46">
        <f>SUM(X44*12)</f>
        <v>293880</v>
      </c>
      <c r="Z44" s="41">
        <f t="shared" si="18"/>
        <v>24490</v>
      </c>
      <c r="AA44" s="45"/>
      <c r="AB44" s="43">
        <f t="shared" si="20"/>
        <v>-24490</v>
      </c>
      <c r="AC44" s="42">
        <f t="shared" si="19"/>
        <v>-293880</v>
      </c>
      <c r="AD44" s="41">
        <f t="shared" si="21"/>
        <v>0</v>
      </c>
      <c r="AE44" s="45">
        <v>25470</v>
      </c>
      <c r="AF44" s="47">
        <f>SUM(AE44-AD44)</f>
        <v>25470</v>
      </c>
      <c r="AG44" s="46">
        <f>SUM(AF44*12)</f>
        <v>305640</v>
      </c>
      <c r="AH44" s="41">
        <f t="shared" si="22"/>
        <v>25470</v>
      </c>
      <c r="AI44" s="45">
        <v>26460</v>
      </c>
      <c r="AJ44" s="47">
        <f>SUM(AI44-AH44)</f>
        <v>990</v>
      </c>
      <c r="AK44" s="46">
        <f>SUM(AJ44*12)</f>
        <v>11880</v>
      </c>
      <c r="AL44" s="39"/>
      <c r="AM44" s="52"/>
      <c r="AN44" s="52"/>
      <c r="AO44" s="52"/>
      <c r="AP44" s="52"/>
      <c r="AQ44" s="52"/>
      <c r="AR44" s="52"/>
      <c r="AS44" s="52"/>
      <c r="AT44" s="52"/>
      <c r="AU44" s="52"/>
    </row>
    <row r="45" spans="1:47" ht="23.25" customHeight="1" x14ac:dyDescent="0.5">
      <c r="A45" s="12"/>
      <c r="B45" s="7" t="s">
        <v>88</v>
      </c>
      <c r="C45" s="20"/>
      <c r="D45" s="12"/>
      <c r="E45" s="12"/>
      <c r="F45" s="15"/>
      <c r="G45" s="70"/>
      <c r="H45" s="55"/>
      <c r="I45" s="55"/>
      <c r="J45" s="70"/>
      <c r="K45" s="70"/>
      <c r="L45" s="70"/>
      <c r="M45" s="69"/>
      <c r="N45" s="69"/>
      <c r="O45" s="69"/>
      <c r="P45" s="15"/>
      <c r="Q45" s="15"/>
      <c r="R45" s="15"/>
      <c r="S45" s="33"/>
      <c r="W45" s="110" t="s">
        <v>89</v>
      </c>
      <c r="X45" s="99"/>
      <c r="Y45" s="53"/>
      <c r="Z45" s="41">
        <f t="shared" si="18"/>
        <v>0</v>
      </c>
      <c r="AA45" s="99"/>
      <c r="AB45" s="43">
        <f t="shared" si="20"/>
        <v>0</v>
      </c>
      <c r="AC45" s="42">
        <f t="shared" si="19"/>
        <v>0</v>
      </c>
      <c r="AD45" s="41">
        <f>SUM(X45)</f>
        <v>0</v>
      </c>
      <c r="AE45" s="99"/>
      <c r="AF45" s="102"/>
      <c r="AG45" s="100"/>
      <c r="AH45" s="101"/>
      <c r="AI45" s="99"/>
      <c r="AJ45" s="102"/>
      <c r="AK45" s="100"/>
      <c r="AL45" s="39"/>
      <c r="AM45" s="39"/>
      <c r="AN45" s="39"/>
      <c r="AO45" s="39"/>
      <c r="AP45" s="39"/>
      <c r="AQ45" s="39"/>
      <c r="AR45" s="39"/>
      <c r="AS45" s="39"/>
      <c r="AT45" s="39"/>
      <c r="AU45" s="39"/>
    </row>
    <row r="46" spans="1:47" ht="25.5" customHeight="1" x14ac:dyDescent="0.5">
      <c r="A46" s="12">
        <v>28</v>
      </c>
      <c r="B46" s="7" t="s">
        <v>90</v>
      </c>
      <c r="C46" s="20" t="s">
        <v>76</v>
      </c>
      <c r="D46" s="12">
        <v>1</v>
      </c>
      <c r="E46" s="12">
        <v>1</v>
      </c>
      <c r="F46" s="15">
        <f>20770*12</f>
        <v>249240</v>
      </c>
      <c r="G46" s="104" t="s">
        <v>37</v>
      </c>
      <c r="H46" s="55">
        <v>1</v>
      </c>
      <c r="I46" s="55">
        <v>1</v>
      </c>
      <c r="J46" s="104" t="s">
        <v>37</v>
      </c>
      <c r="K46" s="104" t="s">
        <v>37</v>
      </c>
      <c r="L46" s="104" t="s">
        <v>37</v>
      </c>
      <c r="M46" s="104">
        <f>730*12</f>
        <v>8760</v>
      </c>
      <c r="N46" s="193">
        <f>730*12</f>
        <v>8760</v>
      </c>
      <c r="O46" s="193">
        <f>750*12</f>
        <v>9000</v>
      </c>
      <c r="P46" s="104">
        <f>SUM(F46+M46)</f>
        <v>258000</v>
      </c>
      <c r="Q46" s="15">
        <f>SUM(F46+N46)</f>
        <v>258000</v>
      </c>
      <c r="R46" s="15">
        <f>SUM(F46+7)</f>
        <v>249247</v>
      </c>
      <c r="S46" s="120"/>
      <c r="W46" s="28" t="s">
        <v>90</v>
      </c>
      <c r="X46" s="101">
        <v>20770</v>
      </c>
      <c r="Y46" s="100">
        <f>SUM(X46*12)</f>
        <v>249240</v>
      </c>
      <c r="Z46" s="101">
        <f t="shared" si="18"/>
        <v>20770</v>
      </c>
      <c r="AA46" s="99">
        <v>21500</v>
      </c>
      <c r="AB46" s="102"/>
      <c r="AC46" s="100"/>
      <c r="AD46" s="101">
        <f>SUM(AA46)</f>
        <v>21500</v>
      </c>
      <c r="AE46" s="99">
        <v>21140</v>
      </c>
      <c r="AF46" s="102">
        <f>SUM(AE46-AD46)</f>
        <v>-360</v>
      </c>
      <c r="AG46" s="100">
        <f>SUM(AF46*12)</f>
        <v>-4320</v>
      </c>
      <c r="AH46" s="101">
        <f>SUM(AE46)</f>
        <v>21140</v>
      </c>
      <c r="AI46" s="99">
        <v>21880</v>
      </c>
      <c r="AJ46" s="102">
        <f>SUM(AI46-AH46)</f>
        <v>740</v>
      </c>
      <c r="AK46" s="100">
        <f>SUM(AJ46*12)</f>
        <v>8880</v>
      </c>
      <c r="AM46" s="54" t="s">
        <v>14</v>
      </c>
      <c r="AN46" s="208" t="s">
        <v>91</v>
      </c>
      <c r="AO46" s="208"/>
      <c r="AP46" s="208"/>
      <c r="AQ46" s="208"/>
      <c r="AR46" s="208"/>
      <c r="AS46" s="208"/>
      <c r="AT46" s="208"/>
      <c r="AU46" s="208"/>
    </row>
    <row r="47" spans="1:47" s="181" customFormat="1" ht="18.75" customHeight="1" x14ac:dyDescent="0.5">
      <c r="A47" s="187"/>
      <c r="B47" s="24"/>
      <c r="C47" s="188"/>
      <c r="D47" s="187"/>
      <c r="E47" s="187"/>
      <c r="F47" s="180"/>
      <c r="G47" s="103"/>
      <c r="H47" s="189"/>
      <c r="I47" s="189"/>
      <c r="J47" s="103"/>
      <c r="K47" s="103"/>
      <c r="L47" s="103"/>
      <c r="M47" s="103"/>
      <c r="N47" s="190"/>
      <c r="O47" s="190"/>
      <c r="P47" s="103"/>
      <c r="Q47" s="180"/>
      <c r="R47" s="180"/>
      <c r="S47" s="164"/>
      <c r="W47" s="24"/>
      <c r="X47" s="96"/>
      <c r="Y47" s="97"/>
      <c r="Z47" s="96"/>
      <c r="AA47" s="96"/>
      <c r="AB47" s="98"/>
      <c r="AC47" s="97"/>
      <c r="AD47" s="96"/>
      <c r="AE47" s="96"/>
      <c r="AF47" s="98"/>
      <c r="AG47" s="97"/>
      <c r="AH47" s="96"/>
      <c r="AI47" s="96"/>
      <c r="AJ47" s="98"/>
      <c r="AK47" s="97"/>
      <c r="AM47" s="191"/>
      <c r="AN47" s="192"/>
      <c r="AO47" s="192"/>
      <c r="AP47" s="192"/>
      <c r="AQ47" s="192"/>
      <c r="AR47" s="192"/>
      <c r="AS47" s="192"/>
      <c r="AT47" s="192"/>
      <c r="AU47" s="192"/>
    </row>
    <row r="48" spans="1:47" s="181" customFormat="1" ht="18.75" customHeight="1" x14ac:dyDescent="0.5">
      <c r="A48" s="187"/>
      <c r="B48" s="24"/>
      <c r="C48" s="188"/>
      <c r="D48" s="187"/>
      <c r="E48" s="187"/>
      <c r="F48" s="180"/>
      <c r="G48" s="103"/>
      <c r="H48" s="189"/>
      <c r="I48" s="189"/>
      <c r="J48" s="103"/>
      <c r="K48" s="103"/>
      <c r="L48" s="103"/>
      <c r="M48" s="103"/>
      <c r="N48" s="190"/>
      <c r="O48" s="190"/>
      <c r="P48" s="103"/>
      <c r="Q48" s="180"/>
      <c r="R48" s="180"/>
      <c r="S48" s="164"/>
      <c r="W48" s="24"/>
      <c r="X48" s="96"/>
      <c r="Y48" s="97"/>
      <c r="Z48" s="96"/>
      <c r="AA48" s="96"/>
      <c r="AB48" s="98"/>
      <c r="AC48" s="97"/>
      <c r="AD48" s="96"/>
      <c r="AE48" s="96"/>
      <c r="AF48" s="98"/>
      <c r="AG48" s="97"/>
      <c r="AH48" s="96"/>
      <c r="AI48" s="96"/>
      <c r="AJ48" s="98"/>
      <c r="AK48" s="97"/>
      <c r="AM48" s="191"/>
      <c r="AN48" s="192"/>
      <c r="AO48" s="192"/>
      <c r="AP48" s="192"/>
      <c r="AQ48" s="192"/>
      <c r="AR48" s="192"/>
      <c r="AS48" s="192"/>
      <c r="AT48" s="192"/>
      <c r="AU48" s="192"/>
    </row>
    <row r="49" spans="1:48" s="181" customFormat="1" ht="18.75" customHeight="1" x14ac:dyDescent="0.5">
      <c r="A49" s="187"/>
      <c r="B49" s="24"/>
      <c r="C49" s="188"/>
      <c r="D49" s="187"/>
      <c r="E49" s="187"/>
      <c r="F49" s="180"/>
      <c r="G49" s="103"/>
      <c r="H49" s="189"/>
      <c r="I49" s="189"/>
      <c r="J49" s="103"/>
      <c r="K49" s="103"/>
      <c r="L49" s="103"/>
      <c r="M49" s="103"/>
      <c r="N49" s="190"/>
      <c r="O49" s="190"/>
      <c r="P49" s="103"/>
      <c r="Q49" s="180"/>
      <c r="R49" s="180"/>
      <c r="S49" s="164"/>
      <c r="W49" s="24"/>
      <c r="X49" s="96"/>
      <c r="Y49" s="97"/>
      <c r="Z49" s="96"/>
      <c r="AA49" s="96"/>
      <c r="AB49" s="98"/>
      <c r="AC49" s="97"/>
      <c r="AD49" s="96"/>
      <c r="AE49" s="96"/>
      <c r="AF49" s="98"/>
      <c r="AG49" s="97"/>
      <c r="AH49" s="96"/>
      <c r="AI49" s="96"/>
      <c r="AJ49" s="98"/>
      <c r="AK49" s="97"/>
      <c r="AM49" s="191"/>
      <c r="AN49" s="192"/>
      <c r="AO49" s="192"/>
      <c r="AP49" s="192"/>
      <c r="AQ49" s="192"/>
      <c r="AR49" s="192"/>
      <c r="AS49" s="192"/>
      <c r="AT49" s="192"/>
      <c r="AU49" s="192"/>
    </row>
    <row r="50" spans="1:48" ht="25.5" customHeight="1" x14ac:dyDescent="0.5">
      <c r="A50" s="218" t="s">
        <v>5</v>
      </c>
      <c r="B50" s="221" t="s">
        <v>6</v>
      </c>
      <c r="C50" s="78" t="s">
        <v>7</v>
      </c>
      <c r="D50" s="199" t="s">
        <v>8</v>
      </c>
      <c r="E50" s="224" t="s">
        <v>67</v>
      </c>
      <c r="F50" s="224"/>
      <c r="G50" s="225" t="s">
        <v>68</v>
      </c>
      <c r="H50" s="225"/>
      <c r="I50" s="225"/>
      <c r="J50" s="226" t="s">
        <v>11</v>
      </c>
      <c r="K50" s="225"/>
      <c r="L50" s="225"/>
      <c r="M50" s="226" t="s">
        <v>69</v>
      </c>
      <c r="N50" s="225"/>
      <c r="O50" s="227"/>
      <c r="P50" s="225" t="s">
        <v>13</v>
      </c>
      <c r="Q50" s="225"/>
      <c r="R50" s="227"/>
      <c r="S50" s="79" t="s">
        <v>14</v>
      </c>
      <c r="W50" s="24"/>
      <c r="X50" s="96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M50" s="54"/>
      <c r="AN50" s="197"/>
      <c r="AO50" s="197"/>
      <c r="AP50" s="197"/>
      <c r="AQ50" s="197"/>
      <c r="AR50" s="197"/>
      <c r="AS50" s="197"/>
      <c r="AT50" s="197"/>
      <c r="AU50" s="197"/>
    </row>
    <row r="51" spans="1:48" ht="25.5" customHeight="1" x14ac:dyDescent="0.5">
      <c r="A51" s="219"/>
      <c r="B51" s="222"/>
      <c r="C51" s="83" t="s">
        <v>15</v>
      </c>
      <c r="D51" s="84" t="s">
        <v>20</v>
      </c>
      <c r="E51" s="198" t="s">
        <v>8</v>
      </c>
      <c r="F51" s="200" t="s">
        <v>16</v>
      </c>
      <c r="G51" s="228" t="s">
        <v>70</v>
      </c>
      <c r="H51" s="228"/>
      <c r="I51" s="228"/>
      <c r="J51" s="229" t="s">
        <v>22</v>
      </c>
      <c r="K51" s="228"/>
      <c r="L51" s="228"/>
      <c r="M51" s="202"/>
      <c r="N51" s="201"/>
      <c r="O51" s="85"/>
      <c r="P51" s="201"/>
      <c r="Q51" s="201"/>
      <c r="R51" s="85"/>
      <c r="S51" s="86"/>
      <c r="W51" s="24"/>
      <c r="X51" s="96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M51" s="54"/>
      <c r="AN51" s="197"/>
      <c r="AO51" s="197"/>
      <c r="AP51" s="197"/>
      <c r="AQ51" s="197"/>
      <c r="AR51" s="197"/>
      <c r="AS51" s="197"/>
      <c r="AT51" s="197"/>
      <c r="AU51" s="197"/>
    </row>
    <row r="52" spans="1:48" ht="25.5" customHeight="1" x14ac:dyDescent="0.5">
      <c r="A52" s="220"/>
      <c r="B52" s="223"/>
      <c r="C52" s="121"/>
      <c r="D52" s="201"/>
      <c r="E52" s="88" t="s">
        <v>24</v>
      </c>
      <c r="F52" s="89" t="s">
        <v>25</v>
      </c>
      <c r="G52" s="90">
        <v>2561</v>
      </c>
      <c r="H52" s="91">
        <v>2562</v>
      </c>
      <c r="I52" s="91">
        <v>2563</v>
      </c>
      <c r="J52" s="90">
        <v>2561</v>
      </c>
      <c r="K52" s="91">
        <v>2562</v>
      </c>
      <c r="L52" s="91">
        <v>2563</v>
      </c>
      <c r="M52" s="90">
        <v>2561</v>
      </c>
      <c r="N52" s="91">
        <v>2562</v>
      </c>
      <c r="O52" s="91">
        <v>2563</v>
      </c>
      <c r="P52" s="90">
        <v>2561</v>
      </c>
      <c r="Q52" s="91">
        <v>2562</v>
      </c>
      <c r="R52" s="91">
        <v>2563</v>
      </c>
      <c r="S52" s="92"/>
      <c r="W52" s="24"/>
      <c r="X52" s="96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M52" s="54"/>
      <c r="AN52" s="197"/>
      <c r="AO52" s="197"/>
      <c r="AP52" s="197"/>
      <c r="AQ52" s="197"/>
      <c r="AR52" s="197"/>
      <c r="AS52" s="197"/>
      <c r="AT52" s="197"/>
      <c r="AU52" s="197"/>
    </row>
    <row r="53" spans="1:48" ht="21" customHeight="1" x14ac:dyDescent="0.5">
      <c r="A53" s="12"/>
      <c r="B53" s="27" t="s">
        <v>92</v>
      </c>
      <c r="C53" s="26"/>
      <c r="D53" s="12"/>
      <c r="E53" s="12"/>
      <c r="F53" s="15"/>
      <c r="G53" s="20"/>
      <c r="H53" s="20"/>
      <c r="I53" s="12"/>
      <c r="J53" s="70"/>
      <c r="K53" s="70"/>
      <c r="L53" s="70"/>
      <c r="M53" s="69"/>
      <c r="N53" s="69"/>
      <c r="O53" s="69"/>
      <c r="P53" s="15"/>
      <c r="Q53" s="15"/>
      <c r="R53" s="15"/>
      <c r="S53" s="33"/>
      <c r="W53" s="111"/>
      <c r="AM53" s="53"/>
      <c r="AN53" s="208" t="s">
        <v>93</v>
      </c>
      <c r="AO53" s="208"/>
      <c r="AP53" s="208"/>
      <c r="AQ53" s="208"/>
      <c r="AR53" s="208"/>
      <c r="AS53" s="208"/>
      <c r="AT53" s="208"/>
      <c r="AU53" s="208"/>
    </row>
    <row r="54" spans="1:48" ht="23.25" customHeight="1" x14ac:dyDescent="0.5">
      <c r="A54" s="12"/>
      <c r="B54" s="64" t="s">
        <v>94</v>
      </c>
      <c r="C54" s="26"/>
      <c r="D54" s="12"/>
      <c r="E54" s="12"/>
      <c r="F54" s="15"/>
      <c r="G54" s="20"/>
      <c r="H54" s="20"/>
      <c r="I54" s="12"/>
      <c r="J54" s="70"/>
      <c r="K54" s="70"/>
      <c r="L54" s="70"/>
      <c r="M54" s="69"/>
      <c r="N54" s="69"/>
      <c r="O54" s="69"/>
      <c r="P54" s="15"/>
      <c r="Q54" s="15"/>
      <c r="R54" s="15"/>
      <c r="S54" s="33"/>
      <c r="W54" s="112"/>
      <c r="AM54" s="53"/>
      <c r="AN54" s="208" t="s">
        <v>95</v>
      </c>
      <c r="AO54" s="208"/>
      <c r="AP54" s="208"/>
      <c r="AQ54" s="208"/>
      <c r="AR54" s="208"/>
      <c r="AS54" s="208"/>
      <c r="AT54" s="208"/>
      <c r="AU54" s="208"/>
    </row>
    <row r="55" spans="1:48" ht="25.5" customHeight="1" x14ac:dyDescent="0.5">
      <c r="A55" s="12">
        <v>29</v>
      </c>
      <c r="B55" s="64" t="s">
        <v>96</v>
      </c>
      <c r="C55" s="77" t="s">
        <v>97</v>
      </c>
      <c r="D55" s="12">
        <v>1</v>
      </c>
      <c r="E55" s="12">
        <v>1</v>
      </c>
      <c r="F55" s="14">
        <v>0</v>
      </c>
      <c r="G55" s="55">
        <v>1</v>
      </c>
      <c r="H55" s="55">
        <v>1</v>
      </c>
      <c r="I55" s="55">
        <v>1</v>
      </c>
      <c r="J55" s="70" t="s">
        <v>37</v>
      </c>
      <c r="K55" s="70" t="s">
        <v>37</v>
      </c>
      <c r="L55" s="70" t="s">
        <v>37</v>
      </c>
      <c r="M55" s="70" t="s">
        <v>37</v>
      </c>
      <c r="N55" s="70" t="s">
        <v>62</v>
      </c>
      <c r="O55" s="70" t="s">
        <v>62</v>
      </c>
      <c r="P55" s="70" t="s">
        <v>37</v>
      </c>
      <c r="Q55" s="70" t="s">
        <v>62</v>
      </c>
      <c r="R55" s="70" t="s">
        <v>62</v>
      </c>
      <c r="S55" s="65"/>
      <c r="W55" s="112"/>
      <c r="AM55" s="39"/>
      <c r="AN55" s="39"/>
      <c r="AO55" s="39"/>
      <c r="AP55" s="39"/>
      <c r="AQ55" s="39"/>
      <c r="AR55" s="39"/>
      <c r="AS55" s="39"/>
      <c r="AT55" s="39"/>
      <c r="AU55" s="39"/>
    </row>
    <row r="56" spans="1:48" ht="25.5" customHeight="1" x14ac:dyDescent="0.5">
      <c r="A56" s="12">
        <v>30</v>
      </c>
      <c r="B56" s="7" t="s">
        <v>96</v>
      </c>
      <c r="C56" s="77" t="s">
        <v>97</v>
      </c>
      <c r="D56" s="12">
        <v>1</v>
      </c>
      <c r="E56" s="12">
        <v>1</v>
      </c>
      <c r="F56" s="14">
        <v>0</v>
      </c>
      <c r="G56" s="55">
        <v>1</v>
      </c>
      <c r="H56" s="55">
        <v>1</v>
      </c>
      <c r="I56" s="55">
        <v>1</v>
      </c>
      <c r="J56" s="70" t="s">
        <v>37</v>
      </c>
      <c r="K56" s="70" t="s">
        <v>37</v>
      </c>
      <c r="L56" s="70" t="s">
        <v>37</v>
      </c>
      <c r="M56" s="70" t="s">
        <v>37</v>
      </c>
      <c r="N56" s="70" t="s">
        <v>62</v>
      </c>
      <c r="O56" s="70" t="s">
        <v>62</v>
      </c>
      <c r="P56" s="70" t="s">
        <v>37</v>
      </c>
      <c r="Q56" s="70" t="s">
        <v>62</v>
      </c>
      <c r="R56" s="70" t="s">
        <v>62</v>
      </c>
      <c r="S56" s="66"/>
      <c r="W56" s="24"/>
      <c r="AM56" s="39"/>
      <c r="AN56" s="39"/>
      <c r="AO56" s="39"/>
      <c r="AP56" s="39"/>
      <c r="AQ56" s="39"/>
      <c r="AR56" s="39"/>
      <c r="AS56" s="39"/>
      <c r="AT56" s="39"/>
      <c r="AU56" s="39"/>
    </row>
    <row r="57" spans="1:48" ht="25.5" customHeight="1" x14ac:dyDescent="0.5">
      <c r="A57" s="12">
        <v>31</v>
      </c>
      <c r="B57" s="7" t="s">
        <v>96</v>
      </c>
      <c r="C57" s="77" t="s">
        <v>97</v>
      </c>
      <c r="D57" s="12">
        <v>1</v>
      </c>
      <c r="E57" s="12">
        <v>1</v>
      </c>
      <c r="F57" s="14">
        <v>0</v>
      </c>
      <c r="G57" s="55">
        <v>1</v>
      </c>
      <c r="H57" s="55">
        <v>1</v>
      </c>
      <c r="I57" s="55">
        <v>1</v>
      </c>
      <c r="J57" s="70" t="s">
        <v>37</v>
      </c>
      <c r="K57" s="70" t="s">
        <v>37</v>
      </c>
      <c r="L57" s="70" t="s">
        <v>37</v>
      </c>
      <c r="M57" s="183" t="s">
        <v>37</v>
      </c>
      <c r="N57" s="183" t="s">
        <v>62</v>
      </c>
      <c r="O57" s="183" t="s">
        <v>62</v>
      </c>
      <c r="P57" s="70" t="s">
        <v>37</v>
      </c>
      <c r="Q57" s="70" t="s">
        <v>62</v>
      </c>
      <c r="R57" s="70" t="s">
        <v>62</v>
      </c>
      <c r="S57" s="66"/>
      <c r="W57" s="24"/>
      <c r="AN57">
        <v>11440</v>
      </c>
      <c r="AO57" s="49">
        <f>SUM(AN57*4/100)</f>
        <v>457.6</v>
      </c>
      <c r="AP57" s="44">
        <v>460</v>
      </c>
      <c r="AQ57" s="50">
        <f>SUM(AN57+AP57)</f>
        <v>11900</v>
      </c>
      <c r="AR57" s="51">
        <f>SUM(AQ57*4/100)</f>
        <v>476</v>
      </c>
      <c r="AS57" s="44">
        <v>480</v>
      </c>
      <c r="AT57" s="50">
        <f>SUM(AQ57+AS57)</f>
        <v>12380</v>
      </c>
      <c r="AU57" s="51">
        <f>SUM(AT57*4/100)</f>
        <v>495.2</v>
      </c>
      <c r="AV57" s="44">
        <v>500</v>
      </c>
    </row>
    <row r="58" spans="1:48" ht="25.5" customHeight="1" x14ac:dyDescent="0.5">
      <c r="A58" s="12">
        <v>32</v>
      </c>
      <c r="B58" s="67" t="s">
        <v>99</v>
      </c>
      <c r="C58" s="77" t="s">
        <v>100</v>
      </c>
      <c r="D58" s="12">
        <v>1</v>
      </c>
      <c r="E58" s="12">
        <v>1</v>
      </c>
      <c r="F58" s="184">
        <f>(12880-9400)*12</f>
        <v>41760</v>
      </c>
      <c r="G58" s="70">
        <v>1</v>
      </c>
      <c r="H58" s="55">
        <v>1</v>
      </c>
      <c r="I58" s="55">
        <v>1</v>
      </c>
      <c r="J58" s="70" t="s">
        <v>37</v>
      </c>
      <c r="K58" s="70" t="s">
        <v>37</v>
      </c>
      <c r="L58" s="70" t="s">
        <v>37</v>
      </c>
      <c r="M58" s="184">
        <f>520*12</f>
        <v>6240</v>
      </c>
      <c r="N58" s="184">
        <f>540*12</f>
        <v>6480</v>
      </c>
      <c r="O58" s="184">
        <f>560*12</f>
        <v>6720</v>
      </c>
      <c r="P58" s="70">
        <f>SUM(M58,F58)</f>
        <v>48000</v>
      </c>
      <c r="Q58" s="183">
        <f>SUM(N58,F58)</f>
        <v>48240</v>
      </c>
      <c r="R58" s="183">
        <f>SUM(F58,O58)</f>
        <v>48480</v>
      </c>
      <c r="S58" s="66"/>
      <c r="W58" s="24"/>
      <c r="AO58" s="49"/>
      <c r="AP58" s="44"/>
      <c r="AQ58" s="50"/>
      <c r="AR58" s="51"/>
      <c r="AS58" s="44"/>
      <c r="AT58" s="50"/>
      <c r="AU58" s="51"/>
      <c r="AV58" s="44"/>
    </row>
    <row r="59" spans="1:48" ht="25.5" customHeight="1" x14ac:dyDescent="0.5">
      <c r="A59" s="12">
        <v>33</v>
      </c>
      <c r="B59" s="67" t="s">
        <v>99</v>
      </c>
      <c r="C59" s="77" t="s">
        <v>100</v>
      </c>
      <c r="D59" s="12">
        <v>1</v>
      </c>
      <c r="E59" s="12">
        <v>1</v>
      </c>
      <c r="F59" s="184">
        <f>(12870-9400)*12</f>
        <v>41640</v>
      </c>
      <c r="G59" s="70">
        <v>1</v>
      </c>
      <c r="H59" s="55">
        <v>1</v>
      </c>
      <c r="I59" s="55">
        <v>1</v>
      </c>
      <c r="J59" s="70" t="s">
        <v>37</v>
      </c>
      <c r="K59" s="70" t="s">
        <v>37</v>
      </c>
      <c r="L59" s="70" t="s">
        <v>37</v>
      </c>
      <c r="M59" s="184">
        <f>520*12</f>
        <v>6240</v>
      </c>
      <c r="N59" s="184">
        <f>540*12</f>
        <v>6480</v>
      </c>
      <c r="O59" s="184">
        <f>560*12</f>
        <v>6720</v>
      </c>
      <c r="P59" s="70">
        <f>SUM(M59,F59)</f>
        <v>47880</v>
      </c>
      <c r="Q59" s="183">
        <f>SUM(N59,F59)</f>
        <v>48120</v>
      </c>
      <c r="R59" s="183">
        <f>SUM(F59,O59)</f>
        <v>48360</v>
      </c>
      <c r="S59" s="66"/>
      <c r="W59" s="24"/>
      <c r="AO59" s="49"/>
      <c r="AP59" s="44"/>
      <c r="AQ59" s="50"/>
      <c r="AR59" s="51"/>
      <c r="AS59" s="44"/>
      <c r="AT59" s="50"/>
      <c r="AU59" s="51"/>
      <c r="AV59" s="44"/>
    </row>
    <row r="60" spans="1:48" ht="25.5" customHeight="1" x14ac:dyDescent="0.5">
      <c r="A60" s="12">
        <v>34</v>
      </c>
      <c r="B60" s="67" t="s">
        <v>99</v>
      </c>
      <c r="C60" s="77" t="s">
        <v>100</v>
      </c>
      <c r="D60" s="12">
        <v>1</v>
      </c>
      <c r="E60" s="12">
        <v>1</v>
      </c>
      <c r="F60" s="184">
        <f>(12770-9400)*12</f>
        <v>40440</v>
      </c>
      <c r="G60" s="70">
        <v>1</v>
      </c>
      <c r="H60" s="55">
        <v>1</v>
      </c>
      <c r="I60" s="55">
        <v>1</v>
      </c>
      <c r="J60" s="70" t="s">
        <v>37</v>
      </c>
      <c r="K60" s="70" t="s">
        <v>37</v>
      </c>
      <c r="L60" s="70" t="s">
        <v>37</v>
      </c>
      <c r="M60" s="184">
        <f>520*12</f>
        <v>6240</v>
      </c>
      <c r="N60" s="184">
        <f>530*12</f>
        <v>6360</v>
      </c>
      <c r="O60" s="184">
        <f>560*12</f>
        <v>6720</v>
      </c>
      <c r="P60" s="70">
        <f>SUM(M60,F60)</f>
        <v>46680</v>
      </c>
      <c r="Q60" s="183">
        <f>SUM(N60,F60)</f>
        <v>46800</v>
      </c>
      <c r="R60" s="183">
        <f>SUM(F60,O60)</f>
        <v>47160</v>
      </c>
      <c r="S60" s="66"/>
      <c r="W60" s="24"/>
      <c r="AO60" s="49"/>
      <c r="AP60" s="44"/>
      <c r="AQ60" s="50"/>
      <c r="AR60" s="51"/>
      <c r="AS60" s="44"/>
      <c r="AT60" s="50"/>
      <c r="AU60" s="51"/>
      <c r="AV60" s="44"/>
    </row>
    <row r="61" spans="1:48" ht="25.5" customHeight="1" x14ac:dyDescent="0.5">
      <c r="A61" s="12">
        <v>35</v>
      </c>
      <c r="B61" s="67" t="s">
        <v>99</v>
      </c>
      <c r="C61" s="77" t="s">
        <v>100</v>
      </c>
      <c r="D61" s="12">
        <v>1</v>
      </c>
      <c r="E61" s="12">
        <v>1</v>
      </c>
      <c r="F61" s="184">
        <f>(12740-9400)*12</f>
        <v>40080</v>
      </c>
      <c r="G61" s="70">
        <v>1</v>
      </c>
      <c r="H61" s="55">
        <v>1</v>
      </c>
      <c r="I61" s="55">
        <v>1</v>
      </c>
      <c r="J61" s="70" t="s">
        <v>37</v>
      </c>
      <c r="K61" s="70" t="s">
        <v>37</v>
      </c>
      <c r="L61" s="70" t="s">
        <v>37</v>
      </c>
      <c r="M61" s="184">
        <f>510*12</f>
        <v>6120</v>
      </c>
      <c r="N61" s="184">
        <f>540*12</f>
        <v>6480</v>
      </c>
      <c r="O61" s="184">
        <f>560*12</f>
        <v>6720</v>
      </c>
      <c r="P61" s="70">
        <f>SUM(M61,F61)</f>
        <v>46200</v>
      </c>
      <c r="Q61" s="183">
        <f>SUM(N61,F61)</f>
        <v>46560</v>
      </c>
      <c r="R61" s="183">
        <f>SUM(F61,O61)</f>
        <v>46800</v>
      </c>
      <c r="S61" s="66"/>
      <c r="W61" s="24"/>
      <c r="AO61" s="49"/>
      <c r="AP61" s="44"/>
      <c r="AQ61" s="50"/>
      <c r="AR61" s="51"/>
      <c r="AS61" s="44"/>
      <c r="AT61" s="50"/>
      <c r="AU61" s="51"/>
      <c r="AV61" s="44"/>
    </row>
    <row r="62" spans="1:48" ht="25.5" customHeight="1" x14ac:dyDescent="0.5">
      <c r="A62" s="12">
        <v>36</v>
      </c>
      <c r="B62" s="67" t="s">
        <v>99</v>
      </c>
      <c r="C62" s="77" t="s">
        <v>100</v>
      </c>
      <c r="D62" s="12">
        <v>1</v>
      </c>
      <c r="E62" s="12">
        <v>1</v>
      </c>
      <c r="F62" s="184">
        <f>(11500-9400)*12</f>
        <v>25200</v>
      </c>
      <c r="G62" s="70">
        <v>1</v>
      </c>
      <c r="H62" s="55">
        <v>1</v>
      </c>
      <c r="I62" s="55">
        <v>1</v>
      </c>
      <c r="J62" s="70" t="s">
        <v>37</v>
      </c>
      <c r="K62" s="70" t="s">
        <v>37</v>
      </c>
      <c r="L62" s="70" t="s">
        <v>37</v>
      </c>
      <c r="M62" s="184">
        <f>460*12</f>
        <v>5520</v>
      </c>
      <c r="N62" s="184">
        <f>480*12</f>
        <v>5760</v>
      </c>
      <c r="O62" s="184">
        <f>500*12</f>
        <v>6000</v>
      </c>
      <c r="P62" s="70">
        <f>SUM(M62,F62)</f>
        <v>30720</v>
      </c>
      <c r="Q62" s="183">
        <f>SUM(N62,F62)</f>
        <v>30960</v>
      </c>
      <c r="R62" s="183">
        <f>SUM(F62,O62)</f>
        <v>31200</v>
      </c>
      <c r="S62" s="31"/>
      <c r="W62" s="113"/>
      <c r="AN62">
        <v>11440</v>
      </c>
      <c r="AO62" s="49">
        <f>SUM(AN62*4/100)</f>
        <v>457.6</v>
      </c>
      <c r="AP62" s="44">
        <v>460</v>
      </c>
      <c r="AQ62" s="50">
        <f>SUM(AN62+AP62)</f>
        <v>11900</v>
      </c>
      <c r="AR62" s="51">
        <f>SUM(AQ62*4/100)</f>
        <v>476</v>
      </c>
      <c r="AS62" s="44">
        <v>480</v>
      </c>
      <c r="AT62" s="50">
        <f>SUM(AQ62+AS62)</f>
        <v>12380</v>
      </c>
      <c r="AU62" s="51">
        <f>SUM(AT62*4/100)</f>
        <v>495.2</v>
      </c>
      <c r="AV62" s="44">
        <v>500</v>
      </c>
    </row>
    <row r="63" spans="1:48" ht="25.5" customHeight="1" x14ac:dyDescent="0.5">
      <c r="A63" s="22" t="s">
        <v>101</v>
      </c>
      <c r="B63" s="68" t="s">
        <v>102</v>
      </c>
      <c r="C63" s="18" t="s">
        <v>37</v>
      </c>
      <c r="D63" s="17">
        <v>36</v>
      </c>
      <c r="E63" s="17">
        <v>34</v>
      </c>
      <c r="F63" s="20"/>
      <c r="G63" s="70" t="s">
        <v>62</v>
      </c>
      <c r="H63" s="18" t="s">
        <v>62</v>
      </c>
      <c r="I63" s="18" t="s">
        <v>37</v>
      </c>
      <c r="J63" s="70" t="s">
        <v>62</v>
      </c>
      <c r="K63" s="70" t="s">
        <v>37</v>
      </c>
      <c r="L63" s="70" t="s">
        <v>37</v>
      </c>
      <c r="M63" s="18" t="s">
        <v>37</v>
      </c>
      <c r="N63" s="18" t="s">
        <v>62</v>
      </c>
      <c r="O63" s="18" t="s">
        <v>37</v>
      </c>
      <c r="P63" s="15">
        <f>SUM(P58:P62,P46,P44,P31:P42,P26,P11:P24,P9,P8)</f>
        <v>7666020</v>
      </c>
      <c r="Q63" s="15">
        <f>SUM(Q58:Q62,Q46,Q44,Q31:Q42,Q26,Q11:Q24,Q9,Q8)</f>
        <v>7671420</v>
      </c>
      <c r="R63" s="15">
        <f>SUM(R58:R62,R46,R44,R31:R42,R26,R11:R24,R9,R8)</f>
        <v>7416362</v>
      </c>
      <c r="S63" s="33"/>
      <c r="U63">
        <v>817320</v>
      </c>
      <c r="W63" s="53"/>
      <c r="X63" s="208" t="s">
        <v>103</v>
      </c>
      <c r="Y63" s="208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M63" s="39"/>
      <c r="AN63" s="39">
        <v>11330</v>
      </c>
      <c r="AO63" s="49">
        <f>SUM(AN63*4/100)</f>
        <v>453.2</v>
      </c>
      <c r="AP63" s="44">
        <v>460</v>
      </c>
      <c r="AQ63" s="50">
        <f>SUM(AN63+AP63)</f>
        <v>11790</v>
      </c>
      <c r="AR63" s="51">
        <f>SUM(AQ63*4/100)</f>
        <v>471.6</v>
      </c>
      <c r="AS63" s="44">
        <v>480</v>
      </c>
      <c r="AT63" s="50">
        <f>SUM(AQ63+AS63)</f>
        <v>12270</v>
      </c>
      <c r="AU63" s="51">
        <f>SUM(AT63*4/100)</f>
        <v>490.8</v>
      </c>
      <c r="AV63" s="44">
        <v>500</v>
      </c>
    </row>
    <row r="64" spans="1:48" ht="25.5" customHeight="1" x14ac:dyDescent="0.5">
      <c r="A64" s="30" t="s">
        <v>104</v>
      </c>
      <c r="B64" s="119" t="s">
        <v>105</v>
      </c>
      <c r="C64" s="20"/>
      <c r="D64" s="12"/>
      <c r="E64" s="12"/>
      <c r="F64" s="7"/>
      <c r="G64" s="7"/>
      <c r="H64" s="7"/>
      <c r="I64" s="7"/>
      <c r="J64" s="7"/>
      <c r="K64" s="7"/>
      <c r="L64" s="7"/>
      <c r="M64" s="7"/>
      <c r="N64" s="7"/>
      <c r="O64" s="7"/>
      <c r="P64" s="15">
        <f>SUM(P63*20/100)</f>
        <v>1533204</v>
      </c>
      <c r="Q64" s="15">
        <f>SUM(Q63*20/100)</f>
        <v>1534284</v>
      </c>
      <c r="R64" s="15">
        <f>SUM(R63*20/100)</f>
        <v>1483272.4</v>
      </c>
      <c r="S64" s="33"/>
      <c r="U64">
        <v>108000</v>
      </c>
      <c r="W64" s="53"/>
      <c r="X64" s="208" t="s">
        <v>106</v>
      </c>
      <c r="Y64" s="208"/>
      <c r="Z64" s="208"/>
      <c r="AA64" s="208"/>
      <c r="AB64" s="208"/>
      <c r="AC64" s="208"/>
      <c r="AD64" s="208"/>
      <c r="AE64" s="208"/>
      <c r="AF64" s="208"/>
      <c r="AG64" s="208"/>
      <c r="AH64" s="208"/>
      <c r="AI64" s="208"/>
      <c r="AJ64" s="208"/>
      <c r="AK64" s="208"/>
      <c r="AM64" s="39"/>
      <c r="AN64" s="39">
        <v>11330</v>
      </c>
      <c r="AO64" s="49">
        <f>SUM(AN64*4/100)</f>
        <v>453.2</v>
      </c>
      <c r="AP64" s="44">
        <v>460</v>
      </c>
      <c r="AQ64" s="50">
        <f>SUM(AN64+AP64)</f>
        <v>11790</v>
      </c>
      <c r="AR64" s="51">
        <f>SUM(AQ64*4/100)</f>
        <v>471.6</v>
      </c>
      <c r="AS64" s="44">
        <v>480</v>
      </c>
      <c r="AT64" s="50">
        <f>SUM(AQ64+AS64)</f>
        <v>12270</v>
      </c>
      <c r="AU64" s="51">
        <f>SUM(AT64*4/100)</f>
        <v>490.8</v>
      </c>
      <c r="AV64" s="44">
        <v>500</v>
      </c>
    </row>
    <row r="65" spans="1:48" ht="25.5" customHeight="1" x14ac:dyDescent="0.5">
      <c r="A65" s="30" t="s">
        <v>107</v>
      </c>
      <c r="B65" s="76" t="s">
        <v>108</v>
      </c>
      <c r="C65" s="20"/>
      <c r="D65" s="12"/>
      <c r="E65" s="12"/>
      <c r="F65" s="7"/>
      <c r="G65" s="7"/>
      <c r="H65" s="7"/>
      <c r="I65" s="7"/>
      <c r="J65" s="7"/>
      <c r="K65" s="7"/>
      <c r="L65" s="7"/>
      <c r="M65" s="7"/>
      <c r="N65" s="12"/>
      <c r="O65" s="7"/>
      <c r="P65" s="15">
        <f>SUM(P63:P64)</f>
        <v>9199224</v>
      </c>
      <c r="Q65" s="15">
        <f>SUM(Q63:Q64)</f>
        <v>9205704</v>
      </c>
      <c r="R65" s="15">
        <f>SUM(R63:R64)</f>
        <v>8899634.4000000004</v>
      </c>
      <c r="S65" s="33"/>
      <c r="U65">
        <v>164940</v>
      </c>
      <c r="W65" s="53"/>
      <c r="X65" s="208" t="s">
        <v>109</v>
      </c>
      <c r="Y65" s="208"/>
      <c r="Z65" s="208"/>
      <c r="AA65" s="208"/>
      <c r="AB65" s="208"/>
      <c r="AC65" s="208"/>
      <c r="AD65" s="208"/>
      <c r="AE65" s="208"/>
      <c r="AF65" s="208"/>
      <c r="AG65" s="208"/>
      <c r="AH65" s="208"/>
      <c r="AI65" s="208"/>
      <c r="AJ65" s="208"/>
      <c r="AK65" s="208"/>
      <c r="AM65" s="39"/>
      <c r="AN65" s="39">
        <v>10220</v>
      </c>
      <c r="AO65" s="49">
        <f>SUM(AN65*4/100)</f>
        <v>408.8</v>
      </c>
      <c r="AP65" s="44">
        <v>410</v>
      </c>
      <c r="AQ65" s="50">
        <f>SUM(AN65+AP65)</f>
        <v>10630</v>
      </c>
      <c r="AR65" s="51">
        <f>SUM(AQ65*4/100)</f>
        <v>425.2</v>
      </c>
      <c r="AS65" s="44">
        <v>430</v>
      </c>
      <c r="AT65" s="50">
        <f>SUM(AQ65+AS65)</f>
        <v>11060</v>
      </c>
      <c r="AU65" s="51">
        <f>SUM(AT65*4/100)</f>
        <v>442.4</v>
      </c>
      <c r="AV65" s="44">
        <v>450</v>
      </c>
    </row>
    <row r="66" spans="1:48" ht="25.5" customHeight="1" x14ac:dyDescent="0.5">
      <c r="A66" s="75" t="s">
        <v>110</v>
      </c>
      <c r="B66" s="76" t="s">
        <v>111</v>
      </c>
      <c r="C66" s="19"/>
      <c r="D66" s="12"/>
      <c r="E66" s="12"/>
      <c r="F66" s="7"/>
      <c r="G66" s="7"/>
      <c r="H66" s="7"/>
      <c r="I66" s="7"/>
      <c r="J66" s="7"/>
      <c r="K66" s="7"/>
      <c r="L66" s="7"/>
      <c r="M66" s="7"/>
      <c r="N66" s="12"/>
      <c r="O66" s="7"/>
      <c r="P66" s="109">
        <f>SUM(P65)/58738050*100</f>
        <v>15.661439220403128</v>
      </c>
      <c r="Q66" s="109">
        <f>SUM(Q65)/61674952*100</f>
        <v>14.926163217767888</v>
      </c>
      <c r="R66" s="109">
        <f>SUM(R65)*100/64758700</f>
        <v>13.742762594060721</v>
      </c>
      <c r="S66" s="33"/>
      <c r="U66">
        <f>SUM(U62:U65)</f>
        <v>1090260</v>
      </c>
      <c r="W66" s="53"/>
      <c r="X66" s="208" t="s">
        <v>112</v>
      </c>
      <c r="Y66" s="208"/>
      <c r="Z66" s="208"/>
      <c r="AA66" s="208"/>
      <c r="AB66" s="208"/>
      <c r="AC66" s="208"/>
      <c r="AD66" s="208"/>
      <c r="AE66" s="208"/>
      <c r="AF66" s="208"/>
      <c r="AG66" s="208"/>
      <c r="AH66" s="208"/>
      <c r="AI66" s="208"/>
      <c r="AJ66" s="208"/>
      <c r="AK66" s="208"/>
      <c r="AL66" s="208"/>
      <c r="AP66" s="115">
        <f>SUM(AP57:AP65)</f>
        <v>2250</v>
      </c>
      <c r="AQ66" s="115"/>
      <c r="AR66" s="115"/>
      <c r="AS66" s="115">
        <f>SUM(AS57:AS65)</f>
        <v>2350</v>
      </c>
      <c r="AT66" s="115"/>
      <c r="AU66" s="115"/>
      <c r="AV66" s="115">
        <f>SUM(AV57:AV65)</f>
        <v>2450</v>
      </c>
    </row>
    <row r="67" spans="1:48" ht="21.75" customHeight="1" x14ac:dyDescent="0.5">
      <c r="A67" s="23"/>
      <c r="B67" s="29" t="s">
        <v>113</v>
      </c>
      <c r="C67" s="19"/>
      <c r="D67" s="12"/>
      <c r="E67" s="12"/>
      <c r="F67" s="7"/>
      <c r="G67" s="7"/>
      <c r="H67" s="7"/>
      <c r="I67" s="7"/>
      <c r="J67" s="7"/>
      <c r="K67" s="7"/>
      <c r="L67" s="7"/>
      <c r="M67" s="7"/>
      <c r="N67" s="7"/>
      <c r="O67" s="7"/>
      <c r="P67" s="15"/>
      <c r="Q67" s="15"/>
      <c r="R67" s="15"/>
      <c r="S67" s="33"/>
      <c r="W67" s="53"/>
      <c r="X67" s="208" t="s">
        <v>114</v>
      </c>
      <c r="Y67" s="208"/>
      <c r="Z67" s="208"/>
      <c r="AA67" s="208"/>
      <c r="AB67" s="208"/>
      <c r="AC67" s="208"/>
      <c r="AD67" s="208"/>
      <c r="AE67" s="208"/>
      <c r="AF67" s="208"/>
      <c r="AG67" s="208"/>
      <c r="AH67" s="208"/>
      <c r="AI67" s="208"/>
      <c r="AJ67" s="208"/>
      <c r="AK67" s="208"/>
      <c r="AL67" s="39"/>
      <c r="AP67" s="116">
        <f>SUM(AP66*12)</f>
        <v>27000</v>
      </c>
      <c r="AS67" s="116">
        <f>SUM(AS66*12)</f>
        <v>28200</v>
      </c>
      <c r="AV67" s="116">
        <f>SUM(AV66*12)</f>
        <v>29400</v>
      </c>
    </row>
    <row r="68" spans="1:48" ht="21.75" customHeight="1" x14ac:dyDescent="0.5">
      <c r="A68" s="188"/>
      <c r="B68" s="24"/>
      <c r="C68" s="188"/>
      <c r="D68" s="187"/>
      <c r="E68" s="187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180"/>
      <c r="Q68" s="180"/>
      <c r="R68" s="180"/>
      <c r="S68" s="181"/>
      <c r="W68" s="53"/>
      <c r="X68" s="197"/>
      <c r="Y68" s="197"/>
      <c r="Z68" s="197"/>
      <c r="AA68" s="197"/>
      <c r="AB68" s="197"/>
      <c r="AC68" s="197"/>
      <c r="AD68" s="197"/>
      <c r="AE68" s="197"/>
      <c r="AF68" s="197"/>
      <c r="AG68" s="197"/>
      <c r="AH68" s="197"/>
      <c r="AI68" s="197"/>
      <c r="AJ68" s="197"/>
      <c r="AK68" s="197"/>
      <c r="AL68" s="39"/>
      <c r="AP68" s="116"/>
      <c r="AS68" s="116"/>
      <c r="AV68" s="116"/>
    </row>
    <row r="69" spans="1:48" ht="21.75" customHeight="1" x14ac:dyDescent="0.5">
      <c r="A69" s="188"/>
      <c r="B69" s="24"/>
      <c r="C69" s="188"/>
      <c r="D69" s="187"/>
      <c r="E69" s="187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180"/>
      <c r="Q69" s="180"/>
      <c r="R69" s="180"/>
      <c r="S69" s="181"/>
      <c r="W69" s="53"/>
      <c r="X69" s="197"/>
      <c r="Y69" s="197"/>
      <c r="Z69" s="197"/>
      <c r="AA69" s="197"/>
      <c r="AB69" s="197"/>
      <c r="AC69" s="197"/>
      <c r="AD69" s="197"/>
      <c r="AE69" s="197"/>
      <c r="AF69" s="197"/>
      <c r="AG69" s="197"/>
      <c r="AH69" s="197"/>
      <c r="AI69" s="197"/>
      <c r="AJ69" s="197"/>
      <c r="AK69" s="197"/>
      <c r="AL69" s="39"/>
      <c r="AP69" s="116"/>
      <c r="AS69" s="116"/>
      <c r="AV69" s="116"/>
    </row>
    <row r="70" spans="1:48" ht="21.75" customHeight="1" x14ac:dyDescent="0.5">
      <c r="A70" s="188"/>
      <c r="B70" s="24"/>
      <c r="C70" s="188"/>
      <c r="D70" s="187"/>
      <c r="E70" s="187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180"/>
      <c r="Q70" s="180"/>
      <c r="R70" s="180"/>
      <c r="S70" s="181"/>
      <c r="W70" s="53"/>
      <c r="X70" s="197"/>
      <c r="Y70" s="197"/>
      <c r="Z70" s="197"/>
      <c r="AA70" s="197"/>
      <c r="AB70" s="197"/>
      <c r="AC70" s="197"/>
      <c r="AD70" s="197"/>
      <c r="AE70" s="197"/>
      <c r="AF70" s="197"/>
      <c r="AG70" s="197"/>
      <c r="AH70" s="197"/>
      <c r="AI70" s="197"/>
      <c r="AJ70" s="197"/>
      <c r="AK70" s="197"/>
      <c r="AL70" s="39"/>
      <c r="AP70" s="116"/>
      <c r="AS70" s="116"/>
      <c r="AV70" s="116"/>
    </row>
    <row r="71" spans="1:48" ht="21.75" customHeight="1" x14ac:dyDescent="0.5">
      <c r="A71" s="188"/>
      <c r="B71" s="24"/>
      <c r="C71" s="188"/>
      <c r="D71" s="187"/>
      <c r="E71" s="187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180"/>
      <c r="Q71" s="180"/>
      <c r="R71" s="180"/>
      <c r="S71" s="181"/>
      <c r="W71" s="53"/>
      <c r="X71" s="197"/>
      <c r="Y71" s="197"/>
      <c r="Z71" s="197"/>
      <c r="AA71" s="197"/>
      <c r="AB71" s="197"/>
      <c r="AC71" s="197"/>
      <c r="AD71" s="197"/>
      <c r="AE71" s="197"/>
      <c r="AF71" s="197"/>
      <c r="AG71" s="197"/>
      <c r="AH71" s="197"/>
      <c r="AI71" s="197"/>
      <c r="AJ71" s="197"/>
      <c r="AK71" s="197"/>
      <c r="AL71" s="39"/>
      <c r="AP71" s="116"/>
      <c r="AS71" s="116"/>
      <c r="AV71" s="116"/>
    </row>
    <row r="72" spans="1:48" ht="21.75" customHeight="1" x14ac:dyDescent="0.5">
      <c r="A72" s="188"/>
      <c r="B72" s="24"/>
      <c r="C72" s="188"/>
      <c r="D72" s="187"/>
      <c r="E72" s="187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180"/>
      <c r="Q72" s="180"/>
      <c r="R72" s="180"/>
      <c r="S72" s="181"/>
      <c r="W72" s="53"/>
      <c r="X72" s="197"/>
      <c r="Y72" s="197"/>
      <c r="Z72" s="197"/>
      <c r="AA72" s="197"/>
      <c r="AB72" s="197"/>
      <c r="AC72" s="197"/>
      <c r="AD72" s="197"/>
      <c r="AE72" s="197"/>
      <c r="AF72" s="197"/>
      <c r="AG72" s="197"/>
      <c r="AH72" s="197"/>
      <c r="AI72" s="197"/>
      <c r="AJ72" s="197"/>
      <c r="AK72" s="197"/>
      <c r="AL72" s="39"/>
      <c r="AP72" s="116"/>
      <c r="AS72" s="116"/>
      <c r="AV72" s="116"/>
    </row>
    <row r="73" spans="1:48" ht="21.75" customHeight="1" x14ac:dyDescent="0.5">
      <c r="A73" s="188"/>
      <c r="B73" s="24"/>
      <c r="C73" s="188"/>
      <c r="D73" s="187"/>
      <c r="E73" s="187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180"/>
      <c r="Q73" s="180"/>
      <c r="R73" s="180"/>
      <c r="S73" s="181"/>
      <c r="W73" s="53"/>
      <c r="X73" s="197"/>
      <c r="Y73" s="197"/>
      <c r="Z73" s="197"/>
      <c r="AA73" s="197"/>
      <c r="AB73" s="197"/>
      <c r="AC73" s="197"/>
      <c r="AD73" s="197"/>
      <c r="AE73" s="197"/>
      <c r="AF73" s="197"/>
      <c r="AG73" s="197"/>
      <c r="AH73" s="197"/>
      <c r="AI73" s="197"/>
      <c r="AJ73" s="197"/>
      <c r="AK73" s="197"/>
      <c r="AL73" s="39"/>
      <c r="AP73" s="116"/>
      <c r="AS73" s="116"/>
      <c r="AV73" s="116"/>
    </row>
    <row r="74" spans="1:48" ht="25.5" customHeight="1" x14ac:dyDescent="0.5">
      <c r="A74" s="9" t="s">
        <v>14</v>
      </c>
      <c r="B74" s="10"/>
      <c r="C74" s="5"/>
      <c r="D74" s="196"/>
      <c r="E74" s="196"/>
      <c r="F74" s="4"/>
      <c r="G74" s="4"/>
      <c r="H74" s="24"/>
      <c r="I74" s="24"/>
      <c r="J74" s="24"/>
      <c r="K74" s="24"/>
      <c r="L74" s="24"/>
      <c r="M74" s="24"/>
      <c r="N74" s="24"/>
      <c r="O74" s="24"/>
      <c r="P74" s="180"/>
      <c r="Q74" s="180"/>
      <c r="R74" s="180"/>
      <c r="S74" s="181"/>
      <c r="W74" s="53"/>
      <c r="X74" s="197"/>
      <c r="Y74" s="197"/>
      <c r="Z74" s="197"/>
      <c r="AA74" s="197"/>
      <c r="AB74" s="197"/>
      <c r="AC74" s="197"/>
      <c r="AD74" s="197"/>
      <c r="AE74" s="197"/>
      <c r="AF74" s="197"/>
      <c r="AG74" s="197"/>
      <c r="AH74" s="197"/>
      <c r="AI74" s="197"/>
      <c r="AJ74" s="197"/>
      <c r="AK74" s="197"/>
      <c r="AL74" s="39"/>
      <c r="AP74" s="116"/>
      <c r="AS74" s="116"/>
      <c r="AV74" s="116"/>
    </row>
    <row r="75" spans="1:48" ht="25.5" customHeight="1" x14ac:dyDescent="0.5">
      <c r="A75" s="25" t="s">
        <v>115</v>
      </c>
      <c r="B75" s="10"/>
      <c r="C75" s="5"/>
      <c r="D75" s="196"/>
      <c r="E75" s="196"/>
      <c r="F75" s="4"/>
      <c r="G75" s="4"/>
      <c r="H75" s="24"/>
      <c r="I75" s="209" t="s">
        <v>152</v>
      </c>
      <c r="J75" s="210"/>
      <c r="K75" s="210"/>
      <c r="L75" s="210"/>
      <c r="M75" s="210"/>
      <c r="N75" s="210"/>
      <c r="O75" s="210"/>
      <c r="P75" s="210"/>
      <c r="Q75" s="210"/>
      <c r="R75" s="211"/>
      <c r="S75" s="181"/>
      <c r="W75" s="53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39"/>
      <c r="AP75" s="116"/>
      <c r="AS75" s="116"/>
      <c r="AV75" s="116"/>
    </row>
    <row r="76" spans="1:48" ht="25.5" customHeight="1" x14ac:dyDescent="0.5">
      <c r="A76" s="25" t="s">
        <v>117</v>
      </c>
      <c r="B76" s="11"/>
      <c r="C76" s="5"/>
      <c r="D76" s="196"/>
      <c r="E76" s="196"/>
      <c r="F76" s="4"/>
      <c r="G76" s="4"/>
      <c r="H76" s="24"/>
      <c r="I76" s="212" t="s">
        <v>153</v>
      </c>
      <c r="J76" s="203"/>
      <c r="K76" s="203"/>
      <c r="L76" s="203"/>
      <c r="M76" s="203"/>
      <c r="N76" s="203"/>
      <c r="O76" s="203"/>
      <c r="P76" s="203"/>
      <c r="Q76" s="203"/>
      <c r="R76" s="213"/>
      <c r="S76" s="181"/>
      <c r="W76" s="53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97"/>
      <c r="AL76" s="39"/>
      <c r="AP76" s="116"/>
      <c r="AS76" s="116"/>
      <c r="AV76" s="116"/>
    </row>
    <row r="77" spans="1:48" ht="25.5" customHeight="1" x14ac:dyDescent="0.5">
      <c r="A77" s="25" t="s">
        <v>119</v>
      </c>
      <c r="B77" s="11"/>
      <c r="C77" s="5"/>
      <c r="D77" s="196"/>
      <c r="E77" s="196"/>
      <c r="F77" s="4"/>
      <c r="G77" s="4"/>
      <c r="H77" s="24"/>
      <c r="I77" s="212" t="s">
        <v>154</v>
      </c>
      <c r="J77" s="203"/>
      <c r="K77" s="203"/>
      <c r="L77" s="203"/>
      <c r="M77" s="203"/>
      <c r="N77" s="203"/>
      <c r="O77" s="203"/>
      <c r="P77" s="203"/>
      <c r="Q77" s="203"/>
      <c r="R77" s="213"/>
      <c r="S77" s="181"/>
      <c r="W77" s="53"/>
      <c r="X77" s="197"/>
      <c r="Y77" s="197"/>
      <c r="Z77" s="197"/>
      <c r="AA77" s="197"/>
      <c r="AB77" s="197"/>
      <c r="AC77" s="197"/>
      <c r="AD77" s="197"/>
      <c r="AE77" s="197"/>
      <c r="AF77" s="197"/>
      <c r="AG77" s="197"/>
      <c r="AH77" s="197"/>
      <c r="AI77" s="197"/>
      <c r="AJ77" s="197"/>
      <c r="AK77" s="197"/>
      <c r="AL77" s="39"/>
      <c r="AP77" s="116"/>
      <c r="AS77" s="116"/>
      <c r="AV77" s="116"/>
    </row>
    <row r="78" spans="1:48" ht="25.5" customHeight="1" x14ac:dyDescent="0.5">
      <c r="A78" s="25" t="s">
        <v>121</v>
      </c>
      <c r="B78" s="11"/>
      <c r="C78" s="5"/>
      <c r="D78" s="196"/>
      <c r="E78" s="196"/>
      <c r="F78" s="4"/>
      <c r="G78" s="72"/>
      <c r="H78" s="24"/>
      <c r="I78" s="212" t="s">
        <v>155</v>
      </c>
      <c r="J78" s="203"/>
      <c r="K78" s="203"/>
      <c r="L78" s="203"/>
      <c r="M78" s="203"/>
      <c r="N78" s="203"/>
      <c r="O78" s="203"/>
      <c r="P78" s="203"/>
      <c r="Q78" s="203"/>
      <c r="R78" s="213"/>
      <c r="S78" s="181"/>
      <c r="W78" s="53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  <c r="AI78" s="197"/>
      <c r="AJ78" s="197"/>
      <c r="AK78" s="197"/>
      <c r="AL78" s="39"/>
      <c r="AP78" s="116"/>
      <c r="AS78" s="116"/>
      <c r="AV78" s="116"/>
    </row>
    <row r="79" spans="1:48" ht="25.5" customHeight="1" x14ac:dyDescent="0.5">
      <c r="A79" s="25" t="s">
        <v>123</v>
      </c>
      <c r="B79" s="10"/>
      <c r="C79" s="5"/>
      <c r="D79" s="196"/>
      <c r="E79" s="196"/>
      <c r="F79" s="4"/>
      <c r="G79" s="4"/>
      <c r="H79" s="24"/>
      <c r="I79" s="212" t="s">
        <v>156</v>
      </c>
      <c r="J79" s="203"/>
      <c r="K79" s="203"/>
      <c r="L79" s="203"/>
      <c r="M79" s="203"/>
      <c r="N79" s="203"/>
      <c r="O79" s="203"/>
      <c r="P79" s="203"/>
      <c r="Q79" s="203"/>
      <c r="R79" s="213"/>
      <c r="S79" s="181"/>
      <c r="W79" s="53"/>
      <c r="X79" s="197"/>
      <c r="Y79" s="197"/>
      <c r="Z79" s="197"/>
      <c r="AA79" s="197"/>
      <c r="AB79" s="197"/>
      <c r="AC79" s="197"/>
      <c r="AD79" s="197"/>
      <c r="AE79" s="197"/>
      <c r="AF79" s="197"/>
      <c r="AG79" s="197"/>
      <c r="AH79" s="197"/>
      <c r="AI79" s="197"/>
      <c r="AJ79" s="197"/>
      <c r="AK79" s="197"/>
      <c r="AL79" s="39"/>
      <c r="AP79" s="116"/>
      <c r="AS79" s="116"/>
      <c r="AV79" s="116"/>
    </row>
    <row r="80" spans="1:48" ht="25.5" customHeight="1" x14ac:dyDescent="0.5">
      <c r="A80" s="25" t="s">
        <v>125</v>
      </c>
      <c r="B80" s="10"/>
      <c r="C80" s="5"/>
      <c r="D80" s="196"/>
      <c r="E80" s="196"/>
      <c r="F80" s="4"/>
      <c r="G80" s="4"/>
      <c r="H80" s="24"/>
      <c r="I80" s="214" t="s">
        <v>157</v>
      </c>
      <c r="J80" s="215"/>
      <c r="K80" s="215"/>
      <c r="L80" s="215"/>
      <c r="M80" s="215"/>
      <c r="N80" s="215"/>
      <c r="O80" s="215"/>
      <c r="P80" s="215"/>
      <c r="Q80" s="215"/>
      <c r="R80" s="216"/>
      <c r="S80" s="181"/>
      <c r="W80" s="53"/>
      <c r="X80" s="197"/>
      <c r="Y80" s="197"/>
      <c r="Z80" s="197"/>
      <c r="AA80" s="197"/>
      <c r="AB80" s="197"/>
      <c r="AC80" s="197"/>
      <c r="AD80" s="197"/>
      <c r="AE80" s="197"/>
      <c r="AF80" s="197"/>
      <c r="AG80" s="197"/>
      <c r="AH80" s="197"/>
      <c r="AI80" s="197"/>
      <c r="AJ80" s="197"/>
      <c r="AK80" s="197"/>
      <c r="AL80" s="39"/>
      <c r="AP80" s="116"/>
      <c r="AS80" s="116"/>
      <c r="AV80" s="116"/>
    </row>
    <row r="81" spans="1:48" ht="25.5" customHeight="1" x14ac:dyDescent="0.5">
      <c r="A81" s="25" t="s">
        <v>127</v>
      </c>
      <c r="B81" s="10"/>
      <c r="C81" s="5"/>
      <c r="D81" s="196"/>
      <c r="E81" s="196"/>
      <c r="F81" s="4"/>
      <c r="G81" s="4"/>
      <c r="H81" s="24"/>
      <c r="I81" s="203"/>
      <c r="J81" s="203"/>
      <c r="K81" s="203"/>
      <c r="L81" s="203"/>
      <c r="M81" s="203"/>
      <c r="N81" s="203"/>
      <c r="O81" s="203"/>
      <c r="P81" s="203"/>
      <c r="Q81" s="203"/>
      <c r="R81" s="203"/>
      <c r="S81" s="181"/>
      <c r="W81" s="53"/>
      <c r="X81" s="197"/>
      <c r="Y81" s="197"/>
      <c r="Z81" s="197"/>
      <c r="AA81" s="197"/>
      <c r="AB81" s="197"/>
      <c r="AC81" s="197"/>
      <c r="AD81" s="197"/>
      <c r="AE81" s="197"/>
      <c r="AF81" s="197"/>
      <c r="AG81" s="197"/>
      <c r="AH81" s="197"/>
      <c r="AI81" s="197"/>
      <c r="AJ81" s="197"/>
      <c r="AK81" s="197"/>
      <c r="AL81" s="39"/>
      <c r="AP81" s="116"/>
      <c r="AS81" s="116"/>
      <c r="AV81" s="116"/>
    </row>
    <row r="82" spans="1:48" ht="25.5" customHeight="1" x14ac:dyDescent="0.5">
      <c r="A82" s="25" t="s">
        <v>128</v>
      </c>
      <c r="B82" s="10"/>
      <c r="C82" s="5"/>
      <c r="D82" s="196"/>
      <c r="E82" s="196"/>
      <c r="F82" s="4"/>
      <c r="G82" s="4"/>
      <c r="H82" s="24"/>
      <c r="I82" s="203"/>
      <c r="J82" s="203"/>
      <c r="K82" s="203"/>
      <c r="L82" s="203"/>
      <c r="M82" s="203"/>
      <c r="N82" s="203"/>
      <c r="O82" s="203"/>
      <c r="P82" s="203"/>
      <c r="Q82" s="203"/>
      <c r="R82" s="203"/>
      <c r="S82" s="181"/>
      <c r="W82" s="53"/>
      <c r="X82" s="197"/>
      <c r="Y82" s="197"/>
      <c r="Z82" s="197"/>
      <c r="AA82" s="197"/>
      <c r="AB82" s="197"/>
      <c r="AC82" s="197"/>
      <c r="AD82" s="197"/>
      <c r="AE82" s="197"/>
      <c r="AF82" s="197"/>
      <c r="AG82" s="197"/>
      <c r="AH82" s="197"/>
      <c r="AI82" s="197"/>
      <c r="AJ82" s="197"/>
      <c r="AK82" s="197"/>
      <c r="AL82" s="39"/>
      <c r="AP82" s="116"/>
      <c r="AS82" s="116"/>
      <c r="AV82" s="116"/>
    </row>
    <row r="83" spans="1:48" x14ac:dyDescent="0.5">
      <c r="A83" s="9" t="s">
        <v>14</v>
      </c>
      <c r="B83" s="10"/>
      <c r="C83" s="5"/>
      <c r="D83" s="196"/>
      <c r="E83" s="196"/>
      <c r="F83" s="4"/>
      <c r="G83" s="4"/>
      <c r="H83" s="181"/>
      <c r="I83" s="105"/>
      <c r="J83" s="105"/>
      <c r="K83" s="105"/>
      <c r="L83" s="105"/>
      <c r="M83" s="105"/>
      <c r="N83" s="105"/>
      <c r="O83" s="105"/>
      <c r="P83" s="105"/>
      <c r="Q83" s="105"/>
      <c r="R83" s="185"/>
    </row>
    <row r="84" spans="1:48" x14ac:dyDescent="0.5">
      <c r="A84" s="25" t="s">
        <v>115</v>
      </c>
      <c r="B84" s="10"/>
      <c r="C84" s="5"/>
      <c r="D84" s="196"/>
      <c r="E84" s="196"/>
      <c r="F84" s="4"/>
      <c r="G84" s="4"/>
      <c r="H84" s="181"/>
      <c r="I84" s="217"/>
      <c r="J84" s="217"/>
      <c r="K84" s="217"/>
      <c r="L84" s="217"/>
      <c r="M84" s="217"/>
      <c r="N84" s="217"/>
      <c r="O84" s="217"/>
      <c r="P84" s="217"/>
      <c r="Q84" s="217"/>
      <c r="R84" s="217"/>
      <c r="T84">
        <v>60</v>
      </c>
      <c r="U84" s="115">
        <v>55941000</v>
      </c>
      <c r="V84" s="179">
        <f t="shared" ref="V84:V91" si="23">SUM(U84)*5/100</f>
        <v>2797050</v>
      </c>
      <c r="W84" s="74">
        <f t="shared" ref="W84:W91" si="24">SUM(U84:V84)</f>
        <v>58738050</v>
      </c>
    </row>
    <row r="85" spans="1:48" x14ac:dyDescent="0.5">
      <c r="A85" s="25" t="s">
        <v>117</v>
      </c>
      <c r="B85" s="11"/>
      <c r="C85" s="5"/>
      <c r="D85" s="196"/>
      <c r="E85" s="196"/>
      <c r="F85" s="4"/>
      <c r="G85" s="4"/>
      <c r="H85" s="105"/>
      <c r="I85" s="203"/>
      <c r="J85" s="203"/>
      <c r="K85" s="203"/>
      <c r="L85" s="203"/>
      <c r="M85" s="203"/>
      <c r="N85" s="203"/>
      <c r="O85" s="203"/>
      <c r="P85" s="203"/>
      <c r="Q85" s="203"/>
      <c r="R85" s="203"/>
      <c r="T85">
        <v>61</v>
      </c>
      <c r="U85" s="115">
        <f>SUM(U84+V84)</f>
        <v>58738050</v>
      </c>
      <c r="V85" s="179">
        <f t="shared" si="23"/>
        <v>2936902.5</v>
      </c>
      <c r="W85" s="74">
        <f t="shared" si="24"/>
        <v>61674952.5</v>
      </c>
    </row>
    <row r="86" spans="1:48" x14ac:dyDescent="0.5">
      <c r="A86" s="25" t="s">
        <v>119</v>
      </c>
      <c r="B86" s="11"/>
      <c r="C86" s="5"/>
      <c r="D86" s="196"/>
      <c r="E86" s="196"/>
      <c r="F86" s="4"/>
      <c r="G86" s="4"/>
      <c r="H86" s="105"/>
      <c r="I86" s="203"/>
      <c r="J86" s="203"/>
      <c r="K86" s="203"/>
      <c r="L86" s="203"/>
      <c r="M86" s="203"/>
      <c r="N86" s="203"/>
      <c r="O86" s="203"/>
      <c r="P86" s="203"/>
      <c r="Q86" s="203"/>
      <c r="R86" s="203"/>
      <c r="T86">
        <v>62</v>
      </c>
      <c r="U86" s="177">
        <f>SUM(U85+V85)</f>
        <v>61674952.5</v>
      </c>
      <c r="V86" s="179">
        <f t="shared" si="23"/>
        <v>3083747.625</v>
      </c>
      <c r="W86" s="74">
        <f t="shared" si="24"/>
        <v>64758700.125</v>
      </c>
    </row>
    <row r="87" spans="1:48" x14ac:dyDescent="0.5">
      <c r="A87" s="25" t="s">
        <v>121</v>
      </c>
      <c r="B87" s="11"/>
      <c r="C87" s="5"/>
      <c r="D87" s="196"/>
      <c r="E87" s="196"/>
      <c r="F87" s="4"/>
      <c r="G87" s="72"/>
      <c r="H87" s="186"/>
      <c r="I87" s="203"/>
      <c r="J87" s="203"/>
      <c r="K87" s="203"/>
      <c r="L87" s="203"/>
      <c r="M87" s="203"/>
      <c r="N87" s="203"/>
      <c r="O87" s="203"/>
      <c r="P87" s="203"/>
      <c r="Q87" s="203"/>
      <c r="R87" s="203"/>
      <c r="T87">
        <v>63</v>
      </c>
      <c r="U87" s="177">
        <f>SUM(U86+V86)</f>
        <v>64758700.125</v>
      </c>
      <c r="V87" s="179">
        <f t="shared" si="23"/>
        <v>3237935.0062500001</v>
      </c>
      <c r="W87" s="74">
        <f t="shared" si="24"/>
        <v>67996635.131249994</v>
      </c>
    </row>
    <row r="88" spans="1:48" x14ac:dyDescent="0.5">
      <c r="A88" s="25" t="s">
        <v>123</v>
      </c>
      <c r="B88" s="10"/>
      <c r="C88" s="5"/>
      <c r="D88" s="196"/>
      <c r="E88" s="196"/>
      <c r="F88" s="4"/>
      <c r="G88" s="4"/>
      <c r="H88" s="4"/>
      <c r="I88" s="205"/>
      <c r="J88" s="205"/>
      <c r="K88" s="205"/>
      <c r="L88" s="205"/>
      <c r="M88" s="205"/>
      <c r="N88" s="205"/>
      <c r="O88" s="205"/>
      <c r="P88" s="4"/>
      <c r="Q88" s="4"/>
      <c r="R88" s="13"/>
      <c r="T88">
        <v>60</v>
      </c>
      <c r="U88" s="178">
        <v>19900000</v>
      </c>
      <c r="V88" s="179">
        <f t="shared" si="23"/>
        <v>995000</v>
      </c>
      <c r="W88" s="74">
        <f t="shared" si="24"/>
        <v>20895000</v>
      </c>
    </row>
    <row r="89" spans="1:48" x14ac:dyDescent="0.5">
      <c r="A89" s="25" t="s">
        <v>125</v>
      </c>
      <c r="B89" s="10"/>
      <c r="C89" s="5"/>
      <c r="D89" s="196"/>
      <c r="E89" s="196"/>
      <c r="F89" s="4"/>
      <c r="G89" s="4"/>
      <c r="H89" s="4"/>
      <c r="I89" s="205"/>
      <c r="J89" s="205"/>
      <c r="K89" s="205"/>
      <c r="L89" s="205"/>
      <c r="M89" s="205"/>
      <c r="N89" s="205"/>
      <c r="O89" s="205"/>
      <c r="P89" s="4"/>
      <c r="Q89" s="4"/>
      <c r="R89" s="13">
        <v>56</v>
      </c>
      <c r="T89">
        <v>61</v>
      </c>
      <c r="U89" s="115">
        <f>SUM(U88+V88)</f>
        <v>20895000</v>
      </c>
      <c r="V89" s="179">
        <f t="shared" si="23"/>
        <v>1044750</v>
      </c>
      <c r="W89" s="74">
        <f t="shared" si="24"/>
        <v>21939750</v>
      </c>
    </row>
    <row r="90" spans="1:48" x14ac:dyDescent="0.5">
      <c r="A90" s="25" t="s">
        <v>127</v>
      </c>
      <c r="B90" s="10"/>
      <c r="C90" s="5"/>
      <c r="D90" s="196"/>
      <c r="E90" s="196"/>
      <c r="F90" s="4"/>
      <c r="G90" s="4"/>
      <c r="H90" s="4"/>
      <c r="I90" s="105"/>
      <c r="J90" s="105"/>
      <c r="K90" s="105"/>
      <c r="L90" s="105"/>
      <c r="M90" s="105"/>
      <c r="N90" s="105"/>
      <c r="O90" s="105"/>
      <c r="P90" s="4"/>
      <c r="Q90" s="4"/>
      <c r="R90" s="13">
        <v>57</v>
      </c>
      <c r="T90">
        <v>62</v>
      </c>
      <c r="U90" s="177">
        <f>SUM(U89+V89)</f>
        <v>21939750</v>
      </c>
      <c r="V90" s="179">
        <f t="shared" si="23"/>
        <v>1096987.5</v>
      </c>
      <c r="W90" s="74">
        <f t="shared" si="24"/>
        <v>23036737.5</v>
      </c>
    </row>
    <row r="91" spans="1:48" x14ac:dyDescent="0.5">
      <c r="A91" s="25" t="s">
        <v>128</v>
      </c>
      <c r="B91" s="10"/>
      <c r="C91" s="5"/>
      <c r="D91" s="196"/>
      <c r="E91" s="196"/>
      <c r="F91" s="4"/>
      <c r="G91" s="4"/>
      <c r="H91" s="4"/>
      <c r="I91" s="105"/>
      <c r="J91" s="105"/>
      <c r="K91" s="105"/>
      <c r="L91" s="105"/>
      <c r="M91" s="105"/>
      <c r="N91" s="105"/>
      <c r="O91" s="105"/>
      <c r="P91" s="4"/>
      <c r="Q91" s="4"/>
      <c r="R91" s="13"/>
      <c r="T91">
        <v>63</v>
      </c>
      <c r="U91" s="177">
        <f>SUM(U90+V90)</f>
        <v>23036737.5</v>
      </c>
      <c r="V91" s="179">
        <f t="shared" si="23"/>
        <v>1151836.875</v>
      </c>
      <c r="W91" s="74">
        <f t="shared" si="24"/>
        <v>24188574.375</v>
      </c>
    </row>
    <row r="92" spans="1:48" x14ac:dyDescent="0.5">
      <c r="C92" s="8"/>
      <c r="D92" s="196"/>
      <c r="E92" s="196"/>
      <c r="F92" s="4"/>
      <c r="G92" s="4"/>
      <c r="H92" s="4"/>
      <c r="I92" s="105"/>
      <c r="J92" s="105"/>
      <c r="K92" s="105"/>
      <c r="L92" s="105"/>
      <c r="M92" s="105"/>
      <c r="N92" s="105"/>
      <c r="O92" s="105"/>
      <c r="P92" s="206"/>
      <c r="Q92" s="207"/>
      <c r="R92" s="207"/>
    </row>
    <row r="93" spans="1:48" x14ac:dyDescent="0.5">
      <c r="A93" s="196"/>
      <c r="B93" s="4"/>
      <c r="C93" s="8"/>
      <c r="D93" s="196"/>
      <c r="E93" s="196"/>
      <c r="F93" s="4"/>
      <c r="I93" s="105"/>
      <c r="J93" s="105"/>
      <c r="K93" s="105"/>
      <c r="L93" s="105"/>
      <c r="M93" s="105"/>
      <c r="N93" s="105"/>
      <c r="O93" s="105"/>
      <c r="T93" s="106" t="s">
        <v>129</v>
      </c>
      <c r="U93">
        <v>61</v>
      </c>
      <c r="V93">
        <v>62</v>
      </c>
      <c r="W93">
        <v>63</v>
      </c>
    </row>
    <row r="94" spans="1:48" x14ac:dyDescent="0.5">
      <c r="A94" s="1"/>
      <c r="C94" s="3"/>
      <c r="D94" s="1"/>
      <c r="E94" s="1"/>
      <c r="T94" s="106" t="s">
        <v>130</v>
      </c>
      <c r="U94">
        <f>SUM(T98*5/100)</f>
        <v>1070420</v>
      </c>
      <c r="V94">
        <f>SUM(U98*5/100)</f>
        <v>1123941</v>
      </c>
      <c r="W94">
        <f>SUM(V98*5/100)</f>
        <v>1180138.05</v>
      </c>
    </row>
    <row r="95" spans="1:48" x14ac:dyDescent="0.5">
      <c r="A95" s="1"/>
      <c r="C95" s="3"/>
      <c r="D95" s="1"/>
      <c r="E95" s="1"/>
      <c r="T95">
        <v>16258800</v>
      </c>
    </row>
    <row r="96" spans="1:48" x14ac:dyDescent="0.5">
      <c r="A96" s="1"/>
      <c r="B96" s="217"/>
      <c r="C96" s="217"/>
      <c r="D96" s="217"/>
      <c r="E96" s="217"/>
      <c r="F96" s="217"/>
      <c r="G96" s="217"/>
      <c r="H96" s="217"/>
      <c r="I96" s="217"/>
      <c r="J96" s="217"/>
      <c r="K96" s="217"/>
      <c r="T96">
        <v>5049600</v>
      </c>
    </row>
    <row r="97" spans="1:23" x14ac:dyDescent="0.5">
      <c r="A97" s="1"/>
      <c r="B97" s="203"/>
      <c r="C97" s="203"/>
      <c r="D97" s="203"/>
      <c r="E97" s="203"/>
      <c r="F97" s="203"/>
      <c r="G97" s="203"/>
      <c r="H97" s="203"/>
      <c r="I97" s="203"/>
      <c r="J97" s="203"/>
      <c r="K97" s="203"/>
      <c r="T97">
        <v>100000</v>
      </c>
    </row>
    <row r="98" spans="1:23" x14ac:dyDescent="0.5">
      <c r="A98" s="1"/>
      <c r="B98" s="203"/>
      <c r="C98" s="203"/>
      <c r="D98" s="203"/>
      <c r="E98" s="203"/>
      <c r="F98" s="203"/>
      <c r="G98" s="203"/>
      <c r="H98" s="203"/>
      <c r="I98" s="203"/>
      <c r="J98" s="203"/>
      <c r="K98" s="203"/>
      <c r="T98">
        <f>SUM(T95:T97)</f>
        <v>21408400</v>
      </c>
      <c r="U98" s="178">
        <f>SUM(T98,U94)</f>
        <v>22478820</v>
      </c>
      <c r="V98" s="178">
        <f>SUM(U98,V94)</f>
        <v>23602761</v>
      </c>
      <c r="W98" s="178">
        <f>SUM(V98,W94)</f>
        <v>24782899.050000001</v>
      </c>
    </row>
    <row r="99" spans="1:23" x14ac:dyDescent="0.5">
      <c r="A99" s="1"/>
      <c r="B99" s="203"/>
      <c r="C99" s="203"/>
      <c r="D99" s="203"/>
      <c r="E99" s="203"/>
      <c r="F99" s="203"/>
      <c r="G99" s="203"/>
      <c r="H99" s="203"/>
      <c r="I99" s="203"/>
      <c r="J99" s="203"/>
      <c r="K99" s="203"/>
    </row>
    <row r="100" spans="1:23" x14ac:dyDescent="0.5">
      <c r="A100" s="1"/>
      <c r="B100" s="204"/>
      <c r="C100" s="204"/>
      <c r="D100" s="204"/>
      <c r="E100" s="204"/>
      <c r="F100" s="204"/>
      <c r="G100" s="204"/>
      <c r="H100" s="204"/>
      <c r="I100" s="204"/>
      <c r="J100" s="204"/>
      <c r="K100" s="204"/>
      <c r="U100" s="182">
        <f>SUM(U85-U98)</f>
        <v>36259230</v>
      </c>
      <c r="V100" s="182">
        <f>SUM(U86-V98)</f>
        <v>38072191.5</v>
      </c>
      <c r="W100" s="182">
        <f>SUM(U87-U91)</f>
        <v>41721962.625</v>
      </c>
    </row>
    <row r="101" spans="1:23" x14ac:dyDescent="0.5">
      <c r="A101" s="1"/>
      <c r="C101" s="3"/>
      <c r="D101" s="1"/>
      <c r="E101" s="1"/>
    </row>
    <row r="102" spans="1:23" x14ac:dyDescent="0.5">
      <c r="A102" s="1"/>
      <c r="C102" s="3"/>
      <c r="D102" s="1"/>
      <c r="E102" s="1"/>
    </row>
    <row r="103" spans="1:23" x14ac:dyDescent="0.5">
      <c r="A103" s="1"/>
      <c r="C103" s="3"/>
      <c r="D103" s="1"/>
      <c r="E103" s="1"/>
    </row>
    <row r="104" spans="1:23" x14ac:dyDescent="0.5">
      <c r="A104" s="1"/>
      <c r="C104" s="3"/>
      <c r="D104" s="1"/>
      <c r="E104" s="1"/>
    </row>
    <row r="105" spans="1:23" x14ac:dyDescent="0.5">
      <c r="A105" s="1"/>
      <c r="C105" s="2"/>
      <c r="D105" s="1"/>
      <c r="E105" s="1"/>
      <c r="N105" s="106"/>
      <c r="P105" s="107"/>
    </row>
    <row r="106" spans="1:23" x14ac:dyDescent="0.5">
      <c r="A106" s="1"/>
      <c r="C106" s="2"/>
      <c r="D106" s="1"/>
      <c r="E106" s="1"/>
      <c r="F106">
        <v>60</v>
      </c>
      <c r="H106" s="106" t="s">
        <v>131</v>
      </c>
      <c r="I106" s="106" t="s">
        <v>132</v>
      </c>
      <c r="J106" s="106">
        <v>61</v>
      </c>
      <c r="K106" s="106" t="s">
        <v>133</v>
      </c>
      <c r="L106" s="106" t="s">
        <v>134</v>
      </c>
      <c r="N106" s="106" t="s">
        <v>135</v>
      </c>
      <c r="O106" s="106" t="s">
        <v>136</v>
      </c>
    </row>
    <row r="107" spans="1:23" x14ac:dyDescent="0.5">
      <c r="F107">
        <v>12880</v>
      </c>
      <c r="G107">
        <v>520</v>
      </c>
      <c r="H107">
        <f>SUM(F107:G107)</f>
        <v>13400</v>
      </c>
      <c r="I107">
        <f>SUM(H107-9400)</f>
        <v>4000</v>
      </c>
      <c r="J107">
        <v>540</v>
      </c>
      <c r="K107">
        <f>SUM(J107+H107)</f>
        <v>13940</v>
      </c>
      <c r="L107">
        <f>SUM(K107-9400)</f>
        <v>4540</v>
      </c>
      <c r="M107">
        <v>560</v>
      </c>
      <c r="N107">
        <f>SUM(K107+M107)</f>
        <v>14500</v>
      </c>
      <c r="O107">
        <f>SUM(N107-9400)</f>
        <v>5100</v>
      </c>
      <c r="R107">
        <v>55941000</v>
      </c>
    </row>
    <row r="108" spans="1:23" x14ac:dyDescent="0.5">
      <c r="F108">
        <v>12870</v>
      </c>
      <c r="G108">
        <v>520</v>
      </c>
      <c r="H108">
        <f>SUM(F108:G108)</f>
        <v>13390</v>
      </c>
      <c r="I108">
        <f>SUM(H108-9400)</f>
        <v>3990</v>
      </c>
      <c r="J108">
        <v>540</v>
      </c>
      <c r="K108">
        <f>SUM(J108+H108)</f>
        <v>13930</v>
      </c>
      <c r="L108">
        <f>SUM(K108-9400)</f>
        <v>4530</v>
      </c>
      <c r="M108">
        <v>560</v>
      </c>
      <c r="N108">
        <f>SUM(K108+M108)</f>
        <v>14490</v>
      </c>
      <c r="O108">
        <f>SUM(N108-9400)</f>
        <v>5090</v>
      </c>
      <c r="P108" s="108"/>
      <c r="R108" s="106">
        <f>55941000*5/100</f>
        <v>2797050</v>
      </c>
    </row>
    <row r="109" spans="1:23" x14ac:dyDescent="0.5">
      <c r="F109">
        <v>12770</v>
      </c>
      <c r="G109">
        <v>520</v>
      </c>
      <c r="H109">
        <f>SUM(F109:G109)</f>
        <v>13290</v>
      </c>
      <c r="I109">
        <f>SUM(H109-9400)</f>
        <v>3890</v>
      </c>
      <c r="J109">
        <v>530</v>
      </c>
      <c r="K109">
        <f>SUM(J109+H109)</f>
        <v>13820</v>
      </c>
      <c r="L109">
        <f>SUM(K109-9400)</f>
        <v>4420</v>
      </c>
      <c r="M109">
        <v>560</v>
      </c>
      <c r="N109">
        <f>SUM(K109+M109)</f>
        <v>14380</v>
      </c>
      <c r="O109">
        <f>SUM(N109-9400)</f>
        <v>4980</v>
      </c>
      <c r="Q109" s="106" t="s">
        <v>137</v>
      </c>
      <c r="R109">
        <f>SUM(R107:R108)</f>
        <v>58738050</v>
      </c>
    </row>
    <row r="110" spans="1:23" x14ac:dyDescent="0.5">
      <c r="F110">
        <v>12740</v>
      </c>
      <c r="G110">
        <v>510</v>
      </c>
      <c r="H110">
        <f>SUM(F110:G110)</f>
        <v>13250</v>
      </c>
      <c r="I110">
        <f>SUM(H110-9400)</f>
        <v>3850</v>
      </c>
      <c r="J110">
        <v>540</v>
      </c>
      <c r="K110">
        <f>SUM(J110+H110)</f>
        <v>13790</v>
      </c>
      <c r="L110">
        <f>SUM(K110-9400)</f>
        <v>4390</v>
      </c>
      <c r="M110">
        <v>560</v>
      </c>
      <c r="N110">
        <f>SUM(K110+M110)</f>
        <v>14350</v>
      </c>
      <c r="O110">
        <f>SUM(N110-9400)</f>
        <v>4950</v>
      </c>
      <c r="P110" s="15"/>
      <c r="Q110">
        <v>62</v>
      </c>
      <c r="R110">
        <f>SUM(R109*5/100)</f>
        <v>2936902.5</v>
      </c>
    </row>
    <row r="111" spans="1:23" x14ac:dyDescent="0.5">
      <c r="F111">
        <v>11500</v>
      </c>
      <c r="G111">
        <v>460</v>
      </c>
      <c r="H111">
        <f>SUM(F111:G111)</f>
        <v>11960</v>
      </c>
      <c r="I111">
        <f>SUM(H111-9400)</f>
        <v>2560</v>
      </c>
      <c r="J111">
        <v>480</v>
      </c>
      <c r="K111">
        <f>SUM(J111+H111)</f>
        <v>12440</v>
      </c>
      <c r="L111">
        <f>SUM(K111-9400)</f>
        <v>3040</v>
      </c>
      <c r="M111">
        <v>500</v>
      </c>
      <c r="N111">
        <f>SUM(K111+M111)</f>
        <v>12940</v>
      </c>
      <c r="O111">
        <f>SUM(N111-9400)</f>
        <v>3540</v>
      </c>
      <c r="Q111">
        <v>62</v>
      </c>
      <c r="R111">
        <f>SUM(R109:R110)</f>
        <v>61674952.5</v>
      </c>
    </row>
    <row r="112" spans="1:23" x14ac:dyDescent="0.5">
      <c r="F112">
        <f>SUM(F107:F111)*4/100*12</f>
        <v>30124.800000000003</v>
      </c>
      <c r="P112" s="107"/>
      <c r="Q112">
        <v>63</v>
      </c>
      <c r="R112" s="107">
        <f>SUM(R111*5/100)</f>
        <v>3083747.625</v>
      </c>
    </row>
    <row r="113" spans="1:18" x14ac:dyDescent="0.5">
      <c r="F113">
        <f>SUM(F106:F111)*12</f>
        <v>753840</v>
      </c>
      <c r="I113">
        <f>SUM(I107:I111)*12</f>
        <v>219480</v>
      </c>
      <c r="L113">
        <f>SUM(L107:L111)*12</f>
        <v>251040</v>
      </c>
      <c r="O113">
        <f>SUM(O107:O111)*12</f>
        <v>283920</v>
      </c>
      <c r="Q113">
        <v>63</v>
      </c>
      <c r="R113" s="73">
        <f>SUM(R111:R112)</f>
        <v>64758700.125</v>
      </c>
    </row>
    <row r="115" spans="1:18" x14ac:dyDescent="0.5">
      <c r="I115" s="178">
        <f>SUM(I113*12)</f>
        <v>2633760</v>
      </c>
      <c r="L115" s="178">
        <f>SUM(L113*12)</f>
        <v>3012480</v>
      </c>
      <c r="O115" s="178">
        <f>SUM(O113*12)</f>
        <v>3407040</v>
      </c>
    </row>
    <row r="116" spans="1:18" x14ac:dyDescent="0.5">
      <c r="A116" t="s">
        <v>138</v>
      </c>
      <c r="F116">
        <f>13285*12*5</f>
        <v>797100</v>
      </c>
    </row>
    <row r="117" spans="1:18" x14ac:dyDescent="0.5">
      <c r="A117">
        <v>1</v>
      </c>
      <c r="B117" t="s">
        <v>139</v>
      </c>
    </row>
    <row r="118" spans="1:18" x14ac:dyDescent="0.5">
      <c r="A118">
        <v>2</v>
      </c>
      <c r="B118" t="s">
        <v>140</v>
      </c>
    </row>
    <row r="119" spans="1:18" x14ac:dyDescent="0.5">
      <c r="A119">
        <v>3</v>
      </c>
      <c r="B119" t="s">
        <v>141</v>
      </c>
    </row>
    <row r="120" spans="1:18" x14ac:dyDescent="0.5">
      <c r="A120">
        <v>4</v>
      </c>
      <c r="B120" t="s">
        <v>142</v>
      </c>
    </row>
    <row r="121" spans="1:18" x14ac:dyDescent="0.5">
      <c r="A121">
        <v>5</v>
      </c>
      <c r="B121" t="s">
        <v>143</v>
      </c>
    </row>
    <row r="122" spans="1:18" x14ac:dyDescent="0.5">
      <c r="A122">
        <v>6</v>
      </c>
      <c r="B122" t="s">
        <v>144</v>
      </c>
    </row>
    <row r="123" spans="1:18" x14ac:dyDescent="0.5">
      <c r="A123">
        <v>7</v>
      </c>
      <c r="B123" t="s">
        <v>145</v>
      </c>
    </row>
    <row r="124" spans="1:18" x14ac:dyDescent="0.5">
      <c r="A124">
        <v>8</v>
      </c>
      <c r="B124" t="s">
        <v>146</v>
      </c>
    </row>
    <row r="125" spans="1:18" x14ac:dyDescent="0.5">
      <c r="A125">
        <v>9</v>
      </c>
      <c r="B125" t="s">
        <v>147</v>
      </c>
    </row>
    <row r="126" spans="1:18" x14ac:dyDescent="0.5">
      <c r="A126">
        <v>10</v>
      </c>
      <c r="B126" t="s">
        <v>148</v>
      </c>
    </row>
    <row r="127" spans="1:18" x14ac:dyDescent="0.5">
      <c r="A127">
        <v>11</v>
      </c>
      <c r="B127" t="s">
        <v>149</v>
      </c>
    </row>
    <row r="128" spans="1:18" x14ac:dyDescent="0.5">
      <c r="A128">
        <v>12</v>
      </c>
    </row>
  </sheetData>
  <mergeCells count="65">
    <mergeCell ref="X64:AK64"/>
    <mergeCell ref="X65:AK65"/>
    <mergeCell ref="X66:AL66"/>
    <mergeCell ref="AN53:AU53"/>
    <mergeCell ref="AN54:AU54"/>
    <mergeCell ref="X63:AK63"/>
    <mergeCell ref="X67:AK67"/>
    <mergeCell ref="I84:R84"/>
    <mergeCell ref="I85:R85"/>
    <mergeCell ref="I86:R86"/>
    <mergeCell ref="I87:R87"/>
    <mergeCell ref="I78:R78"/>
    <mergeCell ref="I79:R79"/>
    <mergeCell ref="I80:R80"/>
    <mergeCell ref="I75:R75"/>
    <mergeCell ref="I76:R76"/>
    <mergeCell ref="I77:R77"/>
    <mergeCell ref="I81:R81"/>
    <mergeCell ref="I82:R82"/>
    <mergeCell ref="M50:O50"/>
    <mergeCell ref="P50:R50"/>
    <mergeCell ref="G51:I51"/>
    <mergeCell ref="J51:L51"/>
    <mergeCell ref="I89:O89"/>
    <mergeCell ref="I88:O88"/>
    <mergeCell ref="A50:A52"/>
    <mergeCell ref="B50:B52"/>
    <mergeCell ref="E50:F50"/>
    <mergeCell ref="G50:I50"/>
    <mergeCell ref="J50:L50"/>
    <mergeCell ref="M27:O27"/>
    <mergeCell ref="P27:R27"/>
    <mergeCell ref="G28:I28"/>
    <mergeCell ref="J28:L28"/>
    <mergeCell ref="AN46:AU46"/>
    <mergeCell ref="W5:W7"/>
    <mergeCell ref="Z5:AK5"/>
    <mergeCell ref="AM5:AU5"/>
    <mergeCell ref="AP6:AR6"/>
    <mergeCell ref="AS6:AU6"/>
    <mergeCell ref="Z6:AC6"/>
    <mergeCell ref="AD6:AG6"/>
    <mergeCell ref="AH6:AK6"/>
    <mergeCell ref="AM6:AO6"/>
    <mergeCell ref="P92:R92"/>
    <mergeCell ref="A4:R4"/>
    <mergeCell ref="A5:A7"/>
    <mergeCell ref="B5:B7"/>
    <mergeCell ref="E5:F5"/>
    <mergeCell ref="G5:I5"/>
    <mergeCell ref="J5:L5"/>
    <mergeCell ref="M5:O5"/>
    <mergeCell ref="P5:R5"/>
    <mergeCell ref="G6:I6"/>
    <mergeCell ref="J6:L6"/>
    <mergeCell ref="A27:A29"/>
    <mergeCell ref="B27:B29"/>
    <mergeCell ref="E27:F27"/>
    <mergeCell ref="G27:I27"/>
    <mergeCell ref="J27:L27"/>
    <mergeCell ref="B96:K96"/>
    <mergeCell ref="B97:K97"/>
    <mergeCell ref="B98:K98"/>
    <mergeCell ref="B99:K99"/>
    <mergeCell ref="B100:K100"/>
  </mergeCells>
  <pageMargins left="0.47244094488188981" right="0.23622047244094491" top="0.51181102362204722" bottom="0.51181102362204722" header="3.937007874015748E-2" footer="3.937007874015748E-2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8"/>
  <sheetViews>
    <sheetView topLeftCell="C1" zoomScale="85" zoomScaleNormal="85" workbookViewId="0">
      <selection activeCell="D14" sqref="D14"/>
    </sheetView>
  </sheetViews>
  <sheetFormatPr defaultRowHeight="21.75" x14ac:dyDescent="0.5"/>
  <cols>
    <col min="1" max="1" width="19.85546875" customWidth="1"/>
    <col min="2" max="2" width="17" customWidth="1"/>
    <col min="3" max="3" width="11" customWidth="1"/>
    <col min="4" max="4" width="10.85546875" customWidth="1"/>
    <col min="5" max="5" width="12" customWidth="1"/>
    <col min="6" max="6" width="12.140625" customWidth="1"/>
    <col min="7" max="7" width="12.5703125" customWidth="1"/>
    <col min="8" max="8" width="13.28515625" customWidth="1"/>
    <col min="9" max="9" width="11.42578125" customWidth="1"/>
    <col min="10" max="10" width="10.7109375" customWidth="1"/>
    <col min="11" max="11" width="10.42578125" customWidth="1"/>
    <col min="12" max="12" width="15" bestFit="1" customWidth="1"/>
    <col min="13" max="14" width="11.140625" bestFit="1" customWidth="1"/>
    <col min="15" max="15" width="12.7109375" bestFit="1" customWidth="1"/>
    <col min="16" max="16" width="9.5703125" bestFit="1" customWidth="1"/>
    <col min="17" max="17" width="11.140625" bestFit="1" customWidth="1"/>
    <col min="18" max="18" width="8.140625" customWidth="1"/>
    <col min="19" max="19" width="7.5703125" customWidth="1"/>
    <col min="20" max="20" width="9.85546875" customWidth="1"/>
    <col min="21" max="21" width="10" customWidth="1"/>
    <col min="22" max="22" width="7.42578125" customWidth="1"/>
    <col min="24" max="24" width="13.5703125" bestFit="1" customWidth="1"/>
    <col min="25" max="25" width="12.42578125" bestFit="1" customWidth="1"/>
    <col min="26" max="26" width="29.42578125" bestFit="1" customWidth="1"/>
    <col min="42" max="42" width="12.140625" bestFit="1" customWidth="1"/>
    <col min="45" max="45" width="10.140625" customWidth="1"/>
    <col min="48" max="48" width="9.42578125" customWidth="1"/>
    <col min="51" max="51" width="9" customWidth="1"/>
  </cols>
  <sheetData>
    <row r="1" spans="1:14" ht="22.5" thickBot="1" x14ac:dyDescent="0.55000000000000004">
      <c r="G1" t="s">
        <v>129</v>
      </c>
    </row>
    <row r="2" spans="1:14" ht="34.5" customHeight="1" thickBot="1" x14ac:dyDescent="0.55000000000000004">
      <c r="A2" s="128" t="s">
        <v>138</v>
      </c>
      <c r="B2" s="129" t="s">
        <v>158</v>
      </c>
      <c r="C2" s="128" t="s">
        <v>159</v>
      </c>
      <c r="D2" s="128" t="s">
        <v>160</v>
      </c>
      <c r="E2" s="127">
        <v>0.04</v>
      </c>
      <c r="F2" s="128" t="s">
        <v>34</v>
      </c>
      <c r="G2" s="128" t="s">
        <v>161</v>
      </c>
      <c r="H2" s="147" t="s">
        <v>162</v>
      </c>
      <c r="I2" s="130" t="s">
        <v>163</v>
      </c>
      <c r="J2" s="128" t="s">
        <v>34</v>
      </c>
      <c r="K2" s="128" t="s">
        <v>161</v>
      </c>
      <c r="L2" s="129" t="s">
        <v>162</v>
      </c>
    </row>
    <row r="3" spans="1:14" x14ac:dyDescent="0.5">
      <c r="A3" s="123">
        <v>1</v>
      </c>
      <c r="B3" s="131" t="s">
        <v>139</v>
      </c>
      <c r="C3" s="125">
        <v>12740</v>
      </c>
      <c r="D3" s="125">
        <f>SUM(C3*12)</f>
        <v>152880</v>
      </c>
      <c r="E3" s="122">
        <f>SUM(C3*4)/100</f>
        <v>509.6</v>
      </c>
      <c r="F3" s="126">
        <v>510</v>
      </c>
      <c r="G3" s="140">
        <f>SUM(F3*12)</f>
        <v>6120</v>
      </c>
      <c r="H3" s="149">
        <f>SUM(C3,F3)</f>
        <v>13250</v>
      </c>
      <c r="I3" s="122">
        <f>SUM(H3*4%)</f>
        <v>530</v>
      </c>
      <c r="J3" s="126">
        <v>530</v>
      </c>
      <c r="K3" s="125">
        <f>SUM(J3*12)</f>
        <v>6360</v>
      </c>
      <c r="L3" s="133">
        <f>SUM(H3,J3)</f>
        <v>13780</v>
      </c>
      <c r="M3" s="175">
        <f>SUM(L3*4/100)</f>
        <v>551.20000000000005</v>
      </c>
      <c r="N3">
        <v>560</v>
      </c>
    </row>
    <row r="4" spans="1:14" x14ac:dyDescent="0.5">
      <c r="A4" s="141">
        <v>2</v>
      </c>
      <c r="B4" s="131" t="s">
        <v>140</v>
      </c>
      <c r="C4" s="125">
        <v>11990</v>
      </c>
      <c r="D4" s="125">
        <f t="shared" ref="D4:D12" si="0">SUM(C4*12)</f>
        <v>143880</v>
      </c>
      <c r="E4" s="122">
        <f t="shared" ref="E4:E12" si="1">SUM(C4*4)/100</f>
        <v>479.6</v>
      </c>
      <c r="F4" s="126">
        <v>480</v>
      </c>
      <c r="G4" s="140">
        <f t="shared" ref="G4:G12" si="2">SUM(F4*12)</f>
        <v>5760</v>
      </c>
      <c r="H4" s="150">
        <f t="shared" ref="H4:H12" si="3">SUM(C4,F4)</f>
        <v>12470</v>
      </c>
      <c r="I4" s="122">
        <f t="shared" ref="I4:I12" si="4">SUM(H4*4%)</f>
        <v>498.8</v>
      </c>
      <c r="J4" s="126">
        <v>500</v>
      </c>
      <c r="K4" s="125">
        <f t="shared" ref="K4:K12" si="5">SUM(J4*12)</f>
        <v>6000</v>
      </c>
      <c r="L4" s="124">
        <f t="shared" ref="L4:L12" si="6">SUM(H4,J4)</f>
        <v>12970</v>
      </c>
      <c r="M4" s="175">
        <f t="shared" ref="M4:M12" si="7">SUM(L4*4/100)</f>
        <v>518.79999999999995</v>
      </c>
      <c r="N4">
        <v>520</v>
      </c>
    </row>
    <row r="5" spans="1:14" x14ac:dyDescent="0.5">
      <c r="A5" s="141">
        <v>3</v>
      </c>
      <c r="B5" s="131" t="s">
        <v>141</v>
      </c>
      <c r="C5" s="125">
        <v>11590</v>
      </c>
      <c r="D5" s="125">
        <f t="shared" si="0"/>
        <v>139080</v>
      </c>
      <c r="E5" s="122">
        <f t="shared" si="1"/>
        <v>463.6</v>
      </c>
      <c r="F5" s="126">
        <v>470</v>
      </c>
      <c r="G5" s="140">
        <f t="shared" si="2"/>
        <v>5640</v>
      </c>
      <c r="H5" s="150">
        <f t="shared" si="3"/>
        <v>12060</v>
      </c>
      <c r="I5" s="122">
        <f t="shared" si="4"/>
        <v>482.40000000000003</v>
      </c>
      <c r="J5" s="126">
        <v>490</v>
      </c>
      <c r="K5" s="125">
        <f t="shared" si="5"/>
        <v>5880</v>
      </c>
      <c r="L5" s="124">
        <f t="shared" si="6"/>
        <v>12550</v>
      </c>
      <c r="M5" s="175">
        <f t="shared" si="7"/>
        <v>502</v>
      </c>
      <c r="N5">
        <v>510</v>
      </c>
    </row>
    <row r="6" spans="1:14" x14ac:dyDescent="0.5">
      <c r="A6" s="141">
        <v>5</v>
      </c>
      <c r="B6" s="131" t="s">
        <v>143</v>
      </c>
      <c r="C6" s="125">
        <v>10580</v>
      </c>
      <c r="D6" s="125">
        <f t="shared" si="0"/>
        <v>126960</v>
      </c>
      <c r="E6" s="122">
        <f t="shared" si="1"/>
        <v>423.2</v>
      </c>
      <c r="F6" s="126">
        <v>430</v>
      </c>
      <c r="G6" s="140">
        <f t="shared" si="2"/>
        <v>5160</v>
      </c>
      <c r="H6" s="150">
        <f t="shared" si="3"/>
        <v>11010</v>
      </c>
      <c r="I6" s="122">
        <f t="shared" si="4"/>
        <v>440.40000000000003</v>
      </c>
      <c r="J6" s="126">
        <v>440</v>
      </c>
      <c r="K6" s="125">
        <f t="shared" si="5"/>
        <v>5280</v>
      </c>
      <c r="L6" s="124">
        <f t="shared" si="6"/>
        <v>11450</v>
      </c>
      <c r="M6" s="175">
        <f t="shared" si="7"/>
        <v>458</v>
      </c>
      <c r="N6">
        <v>460</v>
      </c>
    </row>
    <row r="7" spans="1:14" x14ac:dyDescent="0.5">
      <c r="A7" s="141">
        <v>6</v>
      </c>
      <c r="B7" s="131" t="s">
        <v>144</v>
      </c>
      <c r="C7" s="125">
        <v>11500</v>
      </c>
      <c r="D7" s="125">
        <f t="shared" si="0"/>
        <v>138000</v>
      </c>
      <c r="E7" s="122">
        <f t="shared" si="1"/>
        <v>460</v>
      </c>
      <c r="F7" s="126">
        <v>460</v>
      </c>
      <c r="G7" s="140">
        <f t="shared" si="2"/>
        <v>5520</v>
      </c>
      <c r="H7" s="150">
        <f t="shared" si="3"/>
        <v>11960</v>
      </c>
      <c r="I7" s="122">
        <f t="shared" si="4"/>
        <v>478.40000000000003</v>
      </c>
      <c r="J7" s="126">
        <v>480</v>
      </c>
      <c r="K7" s="125">
        <f t="shared" si="5"/>
        <v>5760</v>
      </c>
      <c r="L7" s="124">
        <f t="shared" si="6"/>
        <v>12440</v>
      </c>
      <c r="M7" s="175">
        <f t="shared" si="7"/>
        <v>497.6</v>
      </c>
      <c r="N7">
        <v>500</v>
      </c>
    </row>
    <row r="8" spans="1:14" x14ac:dyDescent="0.5">
      <c r="A8" s="141">
        <v>7</v>
      </c>
      <c r="B8" s="131" t="s">
        <v>145</v>
      </c>
      <c r="C8" s="125">
        <v>12880</v>
      </c>
      <c r="D8" s="125">
        <f t="shared" si="0"/>
        <v>154560</v>
      </c>
      <c r="E8" s="122">
        <f t="shared" si="1"/>
        <v>515.20000000000005</v>
      </c>
      <c r="F8" s="126">
        <v>520</v>
      </c>
      <c r="G8" s="140">
        <f t="shared" si="2"/>
        <v>6240</v>
      </c>
      <c r="H8" s="150">
        <f t="shared" si="3"/>
        <v>13400</v>
      </c>
      <c r="I8" s="122">
        <f t="shared" si="4"/>
        <v>536</v>
      </c>
      <c r="J8" s="126">
        <v>540</v>
      </c>
      <c r="K8" s="125">
        <f t="shared" si="5"/>
        <v>6480</v>
      </c>
      <c r="L8" s="124">
        <f t="shared" si="6"/>
        <v>13940</v>
      </c>
      <c r="M8" s="175">
        <f t="shared" si="7"/>
        <v>557.6</v>
      </c>
      <c r="N8">
        <v>560</v>
      </c>
    </row>
    <row r="9" spans="1:14" x14ac:dyDescent="0.5">
      <c r="A9" s="141">
        <v>8</v>
      </c>
      <c r="B9" s="131" t="s">
        <v>146</v>
      </c>
      <c r="C9" s="125">
        <v>12870</v>
      </c>
      <c r="D9" s="125">
        <f t="shared" si="0"/>
        <v>154440</v>
      </c>
      <c r="E9" s="122">
        <f t="shared" si="1"/>
        <v>514.79999999999995</v>
      </c>
      <c r="F9" s="126">
        <v>520</v>
      </c>
      <c r="G9" s="140">
        <f t="shared" si="2"/>
        <v>6240</v>
      </c>
      <c r="H9" s="150">
        <f t="shared" si="3"/>
        <v>13390</v>
      </c>
      <c r="I9" s="122">
        <f t="shared" si="4"/>
        <v>535.6</v>
      </c>
      <c r="J9" s="126">
        <v>540</v>
      </c>
      <c r="K9" s="125">
        <f t="shared" si="5"/>
        <v>6480</v>
      </c>
      <c r="L9" s="124">
        <f t="shared" si="6"/>
        <v>13930</v>
      </c>
      <c r="M9" s="175">
        <f t="shared" si="7"/>
        <v>557.20000000000005</v>
      </c>
      <c r="N9">
        <v>560</v>
      </c>
    </row>
    <row r="10" spans="1:14" x14ac:dyDescent="0.5">
      <c r="A10" s="141">
        <v>9</v>
      </c>
      <c r="B10" s="131" t="s">
        <v>147</v>
      </c>
      <c r="C10" s="125">
        <v>12770</v>
      </c>
      <c r="D10" s="125">
        <f t="shared" si="0"/>
        <v>153240</v>
      </c>
      <c r="E10" s="122">
        <f t="shared" si="1"/>
        <v>510.8</v>
      </c>
      <c r="F10" s="126">
        <v>520</v>
      </c>
      <c r="G10" s="140">
        <f t="shared" si="2"/>
        <v>6240</v>
      </c>
      <c r="H10" s="150">
        <f t="shared" si="3"/>
        <v>13290</v>
      </c>
      <c r="I10" s="122">
        <f t="shared" si="4"/>
        <v>531.6</v>
      </c>
      <c r="J10" s="126">
        <v>540</v>
      </c>
      <c r="K10" s="125">
        <f t="shared" si="5"/>
        <v>6480</v>
      </c>
      <c r="L10" s="124">
        <f t="shared" si="6"/>
        <v>13830</v>
      </c>
      <c r="M10" s="175">
        <f t="shared" si="7"/>
        <v>553.20000000000005</v>
      </c>
      <c r="N10">
        <v>560</v>
      </c>
    </row>
    <row r="11" spans="1:14" x14ac:dyDescent="0.5">
      <c r="A11" s="141">
        <v>10</v>
      </c>
      <c r="B11" s="131" t="s">
        <v>148</v>
      </c>
      <c r="C11" s="125">
        <v>12740</v>
      </c>
      <c r="D11" s="125">
        <f t="shared" si="0"/>
        <v>152880</v>
      </c>
      <c r="E11" s="122">
        <f t="shared" si="1"/>
        <v>509.6</v>
      </c>
      <c r="F11" s="126">
        <v>510</v>
      </c>
      <c r="G11" s="140">
        <f t="shared" si="2"/>
        <v>6120</v>
      </c>
      <c r="H11" s="150">
        <f t="shared" si="3"/>
        <v>13250</v>
      </c>
      <c r="I11" s="122">
        <f t="shared" si="4"/>
        <v>530</v>
      </c>
      <c r="J11" s="126">
        <v>530</v>
      </c>
      <c r="K11" s="125">
        <f t="shared" si="5"/>
        <v>6360</v>
      </c>
      <c r="L11" s="124">
        <f t="shared" si="6"/>
        <v>13780</v>
      </c>
      <c r="M11" s="175">
        <f t="shared" si="7"/>
        <v>551.20000000000005</v>
      </c>
      <c r="N11">
        <v>560</v>
      </c>
    </row>
    <row r="12" spans="1:14" ht="22.5" thickBot="1" x14ac:dyDescent="0.55000000000000004">
      <c r="A12" s="142">
        <v>11</v>
      </c>
      <c r="B12" s="132" t="s">
        <v>149</v>
      </c>
      <c r="C12" s="135">
        <v>11500</v>
      </c>
      <c r="D12" s="135">
        <f t="shared" si="0"/>
        <v>138000</v>
      </c>
      <c r="E12" s="136">
        <f t="shared" si="1"/>
        <v>460</v>
      </c>
      <c r="F12" s="126">
        <v>460</v>
      </c>
      <c r="G12" s="140">
        <f t="shared" si="2"/>
        <v>5520</v>
      </c>
      <c r="H12" s="150">
        <f t="shared" si="3"/>
        <v>11960</v>
      </c>
      <c r="I12" s="122">
        <f t="shared" si="4"/>
        <v>478.40000000000003</v>
      </c>
      <c r="J12" s="126">
        <v>480</v>
      </c>
      <c r="K12" s="125">
        <f t="shared" si="5"/>
        <v>5760</v>
      </c>
      <c r="L12" s="124">
        <f t="shared" si="6"/>
        <v>12440</v>
      </c>
      <c r="M12" s="175">
        <f t="shared" si="7"/>
        <v>497.6</v>
      </c>
      <c r="N12">
        <v>500</v>
      </c>
    </row>
    <row r="13" spans="1:14" ht="22.5" thickBot="1" x14ac:dyDescent="0.55000000000000004">
      <c r="C13" s="134"/>
      <c r="D13" s="134"/>
      <c r="F13" s="126"/>
      <c r="G13" s="140"/>
      <c r="H13" s="32"/>
      <c r="J13" s="126"/>
      <c r="K13" s="126"/>
      <c r="L13" s="126"/>
    </row>
    <row r="14" spans="1:14" ht="22.5" thickBot="1" x14ac:dyDescent="0.55000000000000004">
      <c r="D14" s="152">
        <f>SUM(D8:D12)</f>
        <v>753120</v>
      </c>
      <c r="F14" s="146">
        <f>SUM(F3:F13)</f>
        <v>4880</v>
      </c>
      <c r="G14" s="145">
        <f>SUM(G3:G13)</f>
        <v>58560</v>
      </c>
      <c r="H14" s="148"/>
      <c r="I14" s="137"/>
      <c r="J14" s="138"/>
      <c r="K14" s="144">
        <f>SUM(K3:K13)</f>
        <v>60840</v>
      </c>
      <c r="L14" s="139"/>
    </row>
    <row r="15" spans="1:14" x14ac:dyDescent="0.5">
      <c r="C15" s="122"/>
      <c r="D15" s="122">
        <f>9400*5*12</f>
        <v>564000</v>
      </c>
    </row>
    <row r="16" spans="1:14" x14ac:dyDescent="0.5">
      <c r="C16" s="122"/>
      <c r="D16" s="122">
        <f>SUM(D14-D15)</f>
        <v>189120</v>
      </c>
      <c r="E16" s="122"/>
    </row>
    <row r="17" spans="1:19" ht="33" customHeight="1" x14ac:dyDescent="0.5">
      <c r="F17" s="106"/>
      <c r="H17" s="170"/>
    </row>
    <row r="18" spans="1:19" ht="33" customHeight="1" x14ac:dyDescent="0.5">
      <c r="F18" s="106"/>
      <c r="H18" s="170"/>
    </row>
    <row r="19" spans="1:19" ht="33" customHeight="1" x14ac:dyDescent="0.5">
      <c r="F19" s="106"/>
      <c r="H19" s="170"/>
    </row>
    <row r="20" spans="1:19" ht="33" customHeight="1" x14ac:dyDescent="0.5">
      <c r="F20" s="106"/>
      <c r="H20" s="170"/>
    </row>
    <row r="21" spans="1:19" ht="33" customHeight="1" x14ac:dyDescent="0.5">
      <c r="F21" s="106"/>
      <c r="H21" s="170"/>
    </row>
    <row r="22" spans="1:19" ht="33" customHeight="1" x14ac:dyDescent="0.5">
      <c r="F22" s="106"/>
      <c r="H22" s="170"/>
    </row>
    <row r="23" spans="1:19" ht="33" customHeight="1" x14ac:dyDescent="0.5">
      <c r="F23" s="106"/>
      <c r="H23" s="170"/>
    </row>
    <row r="24" spans="1:19" s="106" customFormat="1" x14ac:dyDescent="0.5">
      <c r="A24" s="153"/>
      <c r="B24" s="154"/>
      <c r="C24" s="154"/>
      <c r="D24" s="143" t="s">
        <v>164</v>
      </c>
      <c r="E24" s="143" t="s">
        <v>165</v>
      </c>
      <c r="F24" s="143" t="s">
        <v>166</v>
      </c>
      <c r="G24" s="143" t="s">
        <v>167</v>
      </c>
      <c r="H24" s="143" t="s">
        <v>168</v>
      </c>
      <c r="I24" s="143" t="s">
        <v>167</v>
      </c>
      <c r="J24" s="143" t="s">
        <v>169</v>
      </c>
      <c r="K24" s="143"/>
    </row>
    <row r="25" spans="1:19" s="106" customFormat="1" x14ac:dyDescent="0.5">
      <c r="A25" s="155" t="s">
        <v>170</v>
      </c>
      <c r="B25" s="156" t="s">
        <v>171</v>
      </c>
      <c r="C25" s="157" t="s">
        <v>36</v>
      </c>
      <c r="D25" s="158">
        <v>33140</v>
      </c>
      <c r="E25" s="158">
        <v>34430</v>
      </c>
      <c r="F25" s="158">
        <f>SUM(E25-D25)</f>
        <v>1290</v>
      </c>
      <c r="G25" s="158">
        <v>35760</v>
      </c>
      <c r="H25" s="158">
        <f>SUM(G25-E25)</f>
        <v>1330</v>
      </c>
      <c r="I25" s="159">
        <v>37130</v>
      </c>
      <c r="J25" s="160">
        <f>SUM(I25-G25)</f>
        <v>1370</v>
      </c>
      <c r="K25" s="161"/>
      <c r="L25" s="162"/>
      <c r="M25" s="162"/>
      <c r="N25" s="162"/>
      <c r="O25" s="162"/>
      <c r="P25" s="163"/>
      <c r="Q25" s="164"/>
      <c r="R25" s="164"/>
      <c r="S25" s="164"/>
    </row>
    <row r="26" spans="1:19" s="106" customFormat="1" x14ac:dyDescent="0.5">
      <c r="A26" s="155" t="s">
        <v>172</v>
      </c>
      <c r="B26" s="156" t="s">
        <v>173</v>
      </c>
      <c r="C26" s="157" t="s">
        <v>40</v>
      </c>
      <c r="D26" s="158">
        <v>42210</v>
      </c>
      <c r="E26" s="158">
        <v>43580</v>
      </c>
      <c r="F26" s="158">
        <f t="shared" ref="F26:F48" si="8">SUM(E26-D26)</f>
        <v>1370</v>
      </c>
      <c r="G26" s="158">
        <v>44990</v>
      </c>
      <c r="H26" s="158">
        <f t="shared" ref="H26:H46" si="9">SUM(G26-E26)</f>
        <v>1410</v>
      </c>
      <c r="I26" s="159">
        <v>46490</v>
      </c>
      <c r="J26" s="160">
        <f t="shared" ref="J26:J48" si="10">SUM(I26-G26)</f>
        <v>1500</v>
      </c>
      <c r="K26" s="161"/>
      <c r="L26" s="162"/>
      <c r="M26" s="162"/>
      <c r="N26" s="162"/>
      <c r="O26" s="162"/>
      <c r="P26" s="163"/>
      <c r="Q26" s="164"/>
      <c r="R26" s="164"/>
      <c r="S26" s="164"/>
    </row>
    <row r="27" spans="1:19" s="106" customFormat="1" x14ac:dyDescent="0.5">
      <c r="A27" s="155" t="s">
        <v>174</v>
      </c>
      <c r="B27" s="165" t="s">
        <v>175</v>
      </c>
      <c r="C27" s="157" t="s">
        <v>40</v>
      </c>
      <c r="D27" s="158">
        <v>26980</v>
      </c>
      <c r="E27" s="158">
        <v>28030</v>
      </c>
      <c r="F27" s="158">
        <f t="shared" si="8"/>
        <v>1050</v>
      </c>
      <c r="G27" s="158">
        <v>29110</v>
      </c>
      <c r="H27" s="158">
        <f t="shared" si="9"/>
        <v>1080</v>
      </c>
      <c r="I27" s="159">
        <v>30220</v>
      </c>
      <c r="J27" s="160">
        <f t="shared" si="10"/>
        <v>1110</v>
      </c>
      <c r="K27" s="161"/>
      <c r="L27" s="162"/>
      <c r="M27" s="162"/>
      <c r="N27" s="162"/>
      <c r="O27" s="162"/>
      <c r="P27" s="163"/>
      <c r="Q27" s="164"/>
      <c r="R27" s="164"/>
      <c r="S27" s="164"/>
    </row>
    <row r="28" spans="1:19" s="106" customFormat="1" x14ac:dyDescent="0.5">
      <c r="A28" s="155" t="s">
        <v>176</v>
      </c>
      <c r="B28" s="156" t="s">
        <v>48</v>
      </c>
      <c r="C28" s="157" t="s">
        <v>46</v>
      </c>
      <c r="D28" s="158">
        <v>24970</v>
      </c>
      <c r="E28" s="158">
        <v>25970</v>
      </c>
      <c r="F28" s="158">
        <f t="shared" si="8"/>
        <v>1000</v>
      </c>
      <c r="G28" s="158">
        <v>26980</v>
      </c>
      <c r="H28" s="158">
        <f t="shared" si="9"/>
        <v>1010</v>
      </c>
      <c r="I28" s="159">
        <v>28030</v>
      </c>
      <c r="J28" s="160">
        <f t="shared" si="10"/>
        <v>1050</v>
      </c>
      <c r="K28" s="161"/>
      <c r="L28" s="162"/>
      <c r="M28" s="162"/>
      <c r="N28" s="162"/>
      <c r="O28" s="162"/>
      <c r="P28" s="163"/>
      <c r="Q28" s="164"/>
      <c r="R28" s="164"/>
      <c r="S28" s="164"/>
    </row>
    <row r="29" spans="1:19" s="106" customFormat="1" x14ac:dyDescent="0.5">
      <c r="A29" s="155" t="s">
        <v>177</v>
      </c>
      <c r="B29" s="156" t="s">
        <v>45</v>
      </c>
      <c r="C29" s="157" t="s">
        <v>46</v>
      </c>
      <c r="D29" s="158">
        <v>23550</v>
      </c>
      <c r="E29" s="158">
        <v>24490</v>
      </c>
      <c r="F29" s="158">
        <f t="shared" si="8"/>
        <v>940</v>
      </c>
      <c r="G29" s="158">
        <v>25470</v>
      </c>
      <c r="H29" s="158">
        <f t="shared" si="9"/>
        <v>980</v>
      </c>
      <c r="I29" s="159">
        <v>26460</v>
      </c>
      <c r="J29" s="160">
        <f t="shared" si="10"/>
        <v>990</v>
      </c>
      <c r="K29" s="161"/>
      <c r="L29" s="162"/>
      <c r="M29" s="162"/>
      <c r="N29" s="162"/>
      <c r="O29" s="162"/>
      <c r="P29" s="163"/>
      <c r="Q29" s="164"/>
      <c r="R29" s="164"/>
      <c r="S29" s="164"/>
    </row>
    <row r="30" spans="1:19" s="106" customFormat="1" x14ac:dyDescent="0.5">
      <c r="A30" s="155" t="s">
        <v>178</v>
      </c>
      <c r="B30" s="165" t="s">
        <v>50</v>
      </c>
      <c r="C30" s="157" t="s">
        <v>46</v>
      </c>
      <c r="D30" s="158">
        <v>24490</v>
      </c>
      <c r="E30" s="158">
        <v>25470</v>
      </c>
      <c r="F30" s="158">
        <f t="shared" si="8"/>
        <v>980</v>
      </c>
      <c r="G30" s="158">
        <v>26460</v>
      </c>
      <c r="H30" s="158">
        <f t="shared" si="9"/>
        <v>990</v>
      </c>
      <c r="I30" s="159">
        <v>27480</v>
      </c>
      <c r="J30" s="160">
        <f t="shared" si="10"/>
        <v>1020</v>
      </c>
      <c r="K30" s="161"/>
      <c r="L30" s="162"/>
      <c r="M30" s="162"/>
      <c r="N30" s="162"/>
      <c r="O30" s="162"/>
      <c r="P30" s="163"/>
      <c r="Q30" s="164"/>
      <c r="R30" s="164"/>
      <c r="S30" s="164"/>
    </row>
    <row r="31" spans="1:19" s="106" customFormat="1" x14ac:dyDescent="0.5">
      <c r="A31" s="155" t="s">
        <v>179</v>
      </c>
      <c r="B31" s="165" t="s">
        <v>53</v>
      </c>
      <c r="C31" s="157" t="s">
        <v>54</v>
      </c>
      <c r="D31" s="158">
        <v>17570</v>
      </c>
      <c r="E31" s="158">
        <v>18190</v>
      </c>
      <c r="F31" s="158">
        <f t="shared" si="8"/>
        <v>620</v>
      </c>
      <c r="G31" s="158">
        <v>18790</v>
      </c>
      <c r="H31" s="158">
        <f t="shared" si="9"/>
        <v>600</v>
      </c>
      <c r="I31" s="159">
        <v>19410</v>
      </c>
      <c r="J31" s="160">
        <f t="shared" si="10"/>
        <v>620</v>
      </c>
      <c r="K31" s="161"/>
      <c r="L31" s="162"/>
      <c r="M31" s="162"/>
      <c r="N31" s="162"/>
      <c r="O31" s="162"/>
      <c r="P31" s="163"/>
      <c r="Q31" s="164"/>
      <c r="R31" s="164"/>
      <c r="S31" s="164"/>
    </row>
    <row r="32" spans="1:19" s="106" customFormat="1" ht="25.5" x14ac:dyDescent="0.5">
      <c r="A32" s="165" t="s">
        <v>180</v>
      </c>
      <c r="B32" s="171" t="s">
        <v>181</v>
      </c>
      <c r="C32" s="157" t="s">
        <v>52</v>
      </c>
      <c r="D32" s="158">
        <v>26580</v>
      </c>
      <c r="E32" s="158">
        <v>27490</v>
      </c>
      <c r="F32" s="158">
        <f t="shared" si="8"/>
        <v>910</v>
      </c>
      <c r="G32" s="158">
        <v>28430</v>
      </c>
      <c r="H32" s="158">
        <f t="shared" si="9"/>
        <v>940</v>
      </c>
      <c r="I32" s="159">
        <v>29340</v>
      </c>
      <c r="J32" s="160">
        <f t="shared" si="10"/>
        <v>910</v>
      </c>
      <c r="K32" s="161"/>
      <c r="L32" s="162"/>
      <c r="M32" s="162"/>
      <c r="N32" s="162"/>
      <c r="O32" s="162"/>
      <c r="P32" s="163"/>
      <c r="Q32" s="164"/>
      <c r="R32" s="164"/>
      <c r="S32" s="164"/>
    </row>
    <row r="33" spans="1:19" s="106" customFormat="1" x14ac:dyDescent="0.5">
      <c r="A33" s="155" t="s">
        <v>182</v>
      </c>
      <c r="B33" s="165" t="s">
        <v>183</v>
      </c>
      <c r="C33" s="157" t="s">
        <v>40</v>
      </c>
      <c r="D33" s="158">
        <v>33560</v>
      </c>
      <c r="E33" s="158">
        <v>34680</v>
      </c>
      <c r="F33" s="158">
        <f t="shared" si="8"/>
        <v>1120</v>
      </c>
      <c r="G33" s="158">
        <v>35770</v>
      </c>
      <c r="H33" s="158">
        <f t="shared" si="9"/>
        <v>1090</v>
      </c>
      <c r="I33" s="159">
        <v>36860</v>
      </c>
      <c r="J33" s="160">
        <f t="shared" si="10"/>
        <v>1090</v>
      </c>
      <c r="K33" s="161"/>
      <c r="L33" s="162"/>
      <c r="M33" s="162"/>
      <c r="N33" s="162"/>
      <c r="O33" s="162"/>
      <c r="P33" s="163"/>
      <c r="Q33" s="164"/>
      <c r="R33" s="164"/>
      <c r="S33" s="164"/>
    </row>
    <row r="34" spans="1:19" s="106" customFormat="1" x14ac:dyDescent="0.5">
      <c r="A34" s="165" t="s">
        <v>184</v>
      </c>
      <c r="B34" s="165" t="s">
        <v>75</v>
      </c>
      <c r="C34" s="157" t="s">
        <v>76</v>
      </c>
      <c r="D34" s="158">
        <v>22170</v>
      </c>
      <c r="E34" s="158">
        <v>23080</v>
      </c>
      <c r="F34" s="158">
        <f t="shared" si="8"/>
        <v>910</v>
      </c>
      <c r="G34" s="158">
        <v>24010</v>
      </c>
      <c r="H34" s="158">
        <f t="shared" si="9"/>
        <v>930</v>
      </c>
      <c r="I34" s="159">
        <v>24970</v>
      </c>
      <c r="J34" s="160">
        <f t="shared" si="10"/>
        <v>960</v>
      </c>
      <c r="K34" s="161"/>
      <c r="L34" s="162"/>
      <c r="M34" s="162"/>
      <c r="N34" s="162"/>
      <c r="O34" s="162"/>
      <c r="P34" s="163"/>
      <c r="Q34" s="164"/>
      <c r="R34" s="164"/>
      <c r="S34" s="164"/>
    </row>
    <row r="35" spans="1:19" s="106" customFormat="1" x14ac:dyDescent="0.5">
      <c r="A35" s="155" t="s">
        <v>185</v>
      </c>
      <c r="B35" s="165" t="s">
        <v>73</v>
      </c>
      <c r="C35" s="157" t="s">
        <v>52</v>
      </c>
      <c r="D35" s="158">
        <v>19200</v>
      </c>
      <c r="E35" s="158">
        <v>19970</v>
      </c>
      <c r="F35" s="158">
        <f t="shared" si="8"/>
        <v>770</v>
      </c>
      <c r="G35" s="158">
        <v>20780</v>
      </c>
      <c r="H35" s="158">
        <f t="shared" si="9"/>
        <v>810</v>
      </c>
      <c r="I35" s="159">
        <v>21620</v>
      </c>
      <c r="J35" s="160">
        <f t="shared" si="10"/>
        <v>840</v>
      </c>
      <c r="K35" s="161"/>
      <c r="L35" s="162"/>
      <c r="M35" s="162"/>
      <c r="N35" s="162"/>
      <c r="O35" s="162"/>
      <c r="P35" s="163"/>
      <c r="Q35" s="164"/>
      <c r="R35" s="164"/>
      <c r="S35" s="164"/>
    </row>
    <row r="36" spans="1:19" s="106" customFormat="1" x14ac:dyDescent="0.5">
      <c r="A36" s="155" t="s">
        <v>186</v>
      </c>
      <c r="B36" s="165" t="s">
        <v>77</v>
      </c>
      <c r="C36" s="157" t="s">
        <v>52</v>
      </c>
      <c r="D36" s="158">
        <v>19200</v>
      </c>
      <c r="E36" s="158">
        <v>19970</v>
      </c>
      <c r="F36" s="158">
        <f t="shared" si="8"/>
        <v>770</v>
      </c>
      <c r="G36" s="158">
        <v>20780</v>
      </c>
      <c r="H36" s="158">
        <f t="shared" si="9"/>
        <v>810</v>
      </c>
      <c r="I36" s="159">
        <v>21620</v>
      </c>
      <c r="J36" s="160">
        <f t="shared" si="10"/>
        <v>840</v>
      </c>
      <c r="K36" s="161"/>
      <c r="L36" s="162"/>
      <c r="M36" s="162"/>
      <c r="N36" s="162"/>
      <c r="O36" s="162"/>
      <c r="P36" s="163"/>
      <c r="Q36" s="164"/>
      <c r="R36" s="164"/>
      <c r="S36" s="164"/>
    </row>
    <row r="37" spans="1:19" s="106" customFormat="1" x14ac:dyDescent="0.5">
      <c r="A37" s="155" t="s">
        <v>187</v>
      </c>
      <c r="B37" s="165" t="s">
        <v>74</v>
      </c>
      <c r="C37" s="157" t="s">
        <v>52</v>
      </c>
      <c r="D37" s="158">
        <v>18440</v>
      </c>
      <c r="E37" s="158">
        <v>19200</v>
      </c>
      <c r="F37" s="158">
        <f t="shared" si="8"/>
        <v>760</v>
      </c>
      <c r="G37" s="158">
        <v>19970</v>
      </c>
      <c r="H37" s="158">
        <f t="shared" si="9"/>
        <v>770</v>
      </c>
      <c r="I37" s="159">
        <v>20780</v>
      </c>
      <c r="J37" s="160">
        <f t="shared" si="10"/>
        <v>810</v>
      </c>
      <c r="K37" s="161"/>
      <c r="L37" s="162"/>
      <c r="M37" s="162"/>
      <c r="N37" s="162"/>
      <c r="O37" s="162"/>
      <c r="P37" s="163"/>
      <c r="Q37" s="164"/>
      <c r="R37" s="164"/>
      <c r="S37" s="164"/>
    </row>
    <row r="38" spans="1:19" s="106" customFormat="1" x14ac:dyDescent="0.5">
      <c r="A38" s="155" t="s">
        <v>188</v>
      </c>
      <c r="B38" s="165" t="s">
        <v>189</v>
      </c>
      <c r="C38" s="157" t="s">
        <v>40</v>
      </c>
      <c r="D38" s="158">
        <v>30220</v>
      </c>
      <c r="E38" s="158">
        <v>31340</v>
      </c>
      <c r="F38" s="158">
        <f t="shared" si="8"/>
        <v>1120</v>
      </c>
      <c r="G38" s="158">
        <v>32450</v>
      </c>
      <c r="H38" s="158">
        <f t="shared" si="9"/>
        <v>1110</v>
      </c>
      <c r="I38" s="159">
        <v>33560</v>
      </c>
      <c r="J38" s="160">
        <f t="shared" si="10"/>
        <v>1110</v>
      </c>
      <c r="K38" s="161"/>
      <c r="L38" s="162"/>
      <c r="M38" s="162"/>
      <c r="N38" s="162"/>
      <c r="O38" s="162"/>
      <c r="P38" s="163"/>
      <c r="Q38" s="164"/>
      <c r="R38" s="164"/>
      <c r="S38" s="164"/>
    </row>
    <row r="39" spans="1:19" s="106" customFormat="1" x14ac:dyDescent="0.5">
      <c r="A39" s="155" t="s">
        <v>190</v>
      </c>
      <c r="B39" s="165" t="s">
        <v>83</v>
      </c>
      <c r="C39" s="157" t="s">
        <v>52</v>
      </c>
      <c r="D39" s="158">
        <v>21190</v>
      </c>
      <c r="E39" s="158">
        <v>22040</v>
      </c>
      <c r="F39" s="158">
        <f t="shared" si="8"/>
        <v>850</v>
      </c>
      <c r="G39" s="158">
        <v>22920</v>
      </c>
      <c r="H39" s="158">
        <f t="shared" si="9"/>
        <v>880</v>
      </c>
      <c r="I39" s="159">
        <v>23820</v>
      </c>
      <c r="J39" s="160">
        <f t="shared" si="10"/>
        <v>900</v>
      </c>
      <c r="K39" s="161"/>
      <c r="L39" s="162"/>
      <c r="M39" s="162"/>
      <c r="N39" s="162"/>
      <c r="O39" s="162"/>
      <c r="P39" s="163"/>
      <c r="Q39" s="164"/>
      <c r="R39" s="164"/>
      <c r="S39" s="164"/>
    </row>
    <row r="40" spans="1:19" s="106" customFormat="1" x14ac:dyDescent="0.5">
      <c r="A40" s="155" t="s">
        <v>191</v>
      </c>
      <c r="B40" s="165" t="s">
        <v>83</v>
      </c>
      <c r="C40" s="157" t="s">
        <v>52</v>
      </c>
      <c r="D40" s="158">
        <v>18810</v>
      </c>
      <c r="E40" s="158">
        <v>19580</v>
      </c>
      <c r="F40" s="158">
        <f t="shared" si="8"/>
        <v>770</v>
      </c>
      <c r="G40" s="158">
        <v>20360</v>
      </c>
      <c r="H40" s="158">
        <f t="shared" si="9"/>
        <v>780</v>
      </c>
      <c r="I40" s="159">
        <v>21190</v>
      </c>
      <c r="J40" s="160">
        <f t="shared" si="10"/>
        <v>830</v>
      </c>
      <c r="K40" s="161"/>
      <c r="L40" s="162"/>
      <c r="M40" s="162"/>
      <c r="N40" s="162"/>
      <c r="O40" s="162"/>
      <c r="P40" s="163"/>
      <c r="Q40" s="164"/>
      <c r="R40" s="164"/>
      <c r="S40" s="164"/>
    </row>
    <row r="41" spans="1:19" s="106" customFormat="1" x14ac:dyDescent="0.5">
      <c r="A41" s="165" t="s">
        <v>192</v>
      </c>
      <c r="B41" s="165" t="s">
        <v>83</v>
      </c>
      <c r="C41" s="157" t="s">
        <v>52</v>
      </c>
      <c r="D41" s="158">
        <v>19580</v>
      </c>
      <c r="E41" s="158">
        <v>20360</v>
      </c>
      <c r="F41" s="158">
        <f t="shared" si="8"/>
        <v>780</v>
      </c>
      <c r="G41" s="158">
        <v>21190</v>
      </c>
      <c r="H41" s="158">
        <f t="shared" si="9"/>
        <v>830</v>
      </c>
      <c r="I41" s="159">
        <v>22040</v>
      </c>
      <c r="J41" s="160">
        <f t="shared" si="10"/>
        <v>850</v>
      </c>
      <c r="K41" s="161"/>
      <c r="L41" s="162"/>
      <c r="M41" s="162"/>
      <c r="N41" s="162"/>
      <c r="O41" s="162"/>
      <c r="P41" s="163"/>
      <c r="Q41" s="164"/>
      <c r="R41" s="164"/>
      <c r="S41" s="164"/>
    </row>
    <row r="42" spans="1:19" s="106" customFormat="1" x14ac:dyDescent="0.5">
      <c r="A42" s="155" t="s">
        <v>193</v>
      </c>
      <c r="B42" s="165" t="s">
        <v>194</v>
      </c>
      <c r="C42" s="157" t="s">
        <v>40</v>
      </c>
      <c r="D42" s="158">
        <v>24970</v>
      </c>
      <c r="E42" s="158">
        <v>25970</v>
      </c>
      <c r="F42" s="158">
        <f t="shared" si="8"/>
        <v>1000</v>
      </c>
      <c r="G42" s="158">
        <v>26980</v>
      </c>
      <c r="H42" s="158">
        <f t="shared" si="9"/>
        <v>1010</v>
      </c>
      <c r="I42" s="159">
        <v>28030</v>
      </c>
      <c r="J42" s="160">
        <f t="shared" si="10"/>
        <v>1050</v>
      </c>
      <c r="K42" s="161"/>
      <c r="L42" s="162"/>
      <c r="M42" s="162"/>
      <c r="N42" s="162"/>
      <c r="O42" s="162"/>
      <c r="P42" s="163"/>
      <c r="Q42" s="164"/>
      <c r="R42" s="164"/>
      <c r="S42" s="164"/>
    </row>
    <row r="43" spans="1:19" s="106" customFormat="1" x14ac:dyDescent="0.5">
      <c r="A43" s="165" t="s">
        <v>195</v>
      </c>
      <c r="B43" s="165" t="s">
        <v>90</v>
      </c>
      <c r="C43" s="157" t="s">
        <v>76</v>
      </c>
      <c r="D43" s="158">
        <v>20770</v>
      </c>
      <c r="E43" s="158">
        <v>21500</v>
      </c>
      <c r="F43" s="158">
        <f t="shared" si="8"/>
        <v>730</v>
      </c>
      <c r="G43" s="158">
        <v>22230</v>
      </c>
      <c r="H43" s="158">
        <f t="shared" si="9"/>
        <v>730</v>
      </c>
      <c r="I43" s="159">
        <v>22980</v>
      </c>
      <c r="J43" s="160">
        <f t="shared" si="10"/>
        <v>750</v>
      </c>
      <c r="K43" s="161"/>
      <c r="L43" s="162"/>
      <c r="M43" s="162"/>
      <c r="N43" s="162"/>
      <c r="O43" s="162"/>
      <c r="P43" s="163"/>
      <c r="Q43" s="164"/>
      <c r="R43" s="164"/>
      <c r="S43" s="164"/>
    </row>
    <row r="44" spans="1:19" s="106" customFormat="1" x14ac:dyDescent="0.5">
      <c r="A44" s="165" t="s">
        <v>196</v>
      </c>
      <c r="B44" s="165" t="s">
        <v>96</v>
      </c>
      <c r="C44" s="157" t="s">
        <v>197</v>
      </c>
      <c r="D44" s="158">
        <v>21570</v>
      </c>
      <c r="E44" s="158">
        <v>22450</v>
      </c>
      <c r="F44" s="158">
        <f t="shared" si="8"/>
        <v>880</v>
      </c>
      <c r="G44" s="158">
        <v>23360</v>
      </c>
      <c r="H44" s="158">
        <f t="shared" si="9"/>
        <v>910</v>
      </c>
      <c r="I44" s="159">
        <v>24290</v>
      </c>
      <c r="J44" s="160">
        <f t="shared" si="10"/>
        <v>930</v>
      </c>
      <c r="K44" s="161"/>
      <c r="L44" s="162"/>
      <c r="M44" s="162"/>
      <c r="N44" s="162"/>
      <c r="O44" s="162"/>
      <c r="P44" s="163"/>
      <c r="Q44" s="164"/>
      <c r="R44" s="164"/>
      <c r="S44" s="164"/>
    </row>
    <row r="45" spans="1:19" s="106" customFormat="1" x14ac:dyDescent="0.5">
      <c r="A45" s="165" t="s">
        <v>198</v>
      </c>
      <c r="B45" s="165" t="s">
        <v>96</v>
      </c>
      <c r="C45" s="157" t="s">
        <v>197</v>
      </c>
      <c r="D45" s="158">
        <v>21150</v>
      </c>
      <c r="E45" s="158">
        <v>22000</v>
      </c>
      <c r="F45" s="158">
        <f t="shared" si="8"/>
        <v>850</v>
      </c>
      <c r="G45" s="158">
        <v>22890</v>
      </c>
      <c r="H45" s="158">
        <f t="shared" si="9"/>
        <v>890</v>
      </c>
      <c r="I45" s="159">
        <v>23810</v>
      </c>
      <c r="J45" s="160">
        <f t="shared" si="10"/>
        <v>920</v>
      </c>
      <c r="K45" s="161"/>
      <c r="L45" s="162"/>
      <c r="M45" s="162"/>
      <c r="N45" s="162"/>
      <c r="O45" s="162"/>
      <c r="P45" s="163"/>
      <c r="Q45" s="164"/>
      <c r="R45" s="164"/>
      <c r="S45" s="164"/>
    </row>
    <row r="46" spans="1:19" s="106" customFormat="1" x14ac:dyDescent="0.5">
      <c r="A46" s="165" t="s">
        <v>199</v>
      </c>
      <c r="B46" s="165" t="s">
        <v>96</v>
      </c>
      <c r="C46" s="157" t="s">
        <v>197</v>
      </c>
      <c r="D46" s="158">
        <v>18270</v>
      </c>
      <c r="E46" s="166">
        <v>19100</v>
      </c>
      <c r="F46" s="158">
        <f t="shared" si="8"/>
        <v>830</v>
      </c>
      <c r="G46" s="157">
        <v>19920</v>
      </c>
      <c r="H46" s="158">
        <f t="shared" si="9"/>
        <v>820</v>
      </c>
      <c r="I46" s="167">
        <v>20740</v>
      </c>
      <c r="J46" s="160">
        <f t="shared" si="10"/>
        <v>820</v>
      </c>
      <c r="K46" s="158"/>
      <c r="L46" s="162"/>
      <c r="M46" s="162"/>
      <c r="N46" s="195"/>
      <c r="O46" s="195"/>
      <c r="P46" s="168"/>
      <c r="Q46" s="164"/>
      <c r="R46" s="164"/>
      <c r="S46" s="164"/>
    </row>
    <row r="47" spans="1:19" s="106" customFormat="1" ht="11.25" customHeight="1" x14ac:dyDescent="0.5">
      <c r="K47" s="164"/>
      <c r="L47" s="164"/>
      <c r="M47" s="164"/>
      <c r="N47" s="164"/>
      <c r="O47" s="164"/>
      <c r="P47" s="164"/>
      <c r="Q47" s="164"/>
      <c r="R47" s="164"/>
      <c r="S47" s="164"/>
    </row>
    <row r="48" spans="1:19" s="4" customFormat="1" ht="23.25" customHeight="1" x14ac:dyDescent="0.3">
      <c r="A48" s="65" t="s">
        <v>200</v>
      </c>
      <c r="B48" s="65" t="s">
        <v>201</v>
      </c>
      <c r="C48" s="65"/>
      <c r="D48" s="65">
        <v>15140</v>
      </c>
      <c r="E48" s="65">
        <v>15720</v>
      </c>
      <c r="F48" s="158">
        <f t="shared" si="8"/>
        <v>580</v>
      </c>
      <c r="G48" s="169">
        <v>16340</v>
      </c>
      <c r="H48" s="158">
        <f>SUM(G48-E48)</f>
        <v>620</v>
      </c>
      <c r="I48" s="65">
        <v>16960</v>
      </c>
      <c r="J48" s="160">
        <f t="shared" si="10"/>
        <v>620</v>
      </c>
      <c r="K48" s="65"/>
    </row>
  </sheetData>
  <pageMargins left="0.47244094488188981" right="0.23622047244094491" top="0.51181102362204722" bottom="0.51181102362204722" header="3.937007874015748E-2" footer="3.937007874015748E-2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ไม่รวมเบี้ย</vt:lpstr>
      <vt:lpstr>รวมเบี้ย</vt:lpstr>
      <vt:lpstr>การคำนวณ เงินเดือน59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Chai</dc:creator>
  <cp:keywords/>
  <dc:description/>
  <cp:lastModifiedBy>paira</cp:lastModifiedBy>
  <cp:revision/>
  <dcterms:created xsi:type="dcterms:W3CDTF">2006-10-09T10:02:16Z</dcterms:created>
  <dcterms:modified xsi:type="dcterms:W3CDTF">2021-01-06T05:55:41Z</dcterms:modified>
  <cp:category/>
  <cp:contentStatus/>
</cp:coreProperties>
</file>